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resi\Desktop\Material Nuevos Diplomados 24-7\2. Diplomado Práctico en Gestión Tributaria y Cumplimiento Fiscal-Daniel\4) Aplicación práctica de la proporcionalidad de IVA e ISR\"/>
    </mc:Choice>
  </mc:AlternateContent>
  <xr:revisionPtr revIDLastSave="0" documentId="13_ncr:1_{3EE88CC5-F88D-4CFD-8B52-10C69F4FC371}" xr6:coauthVersionLast="47" xr6:coauthVersionMax="47" xr10:uidLastSave="{00000000-0000-0000-0000-000000000000}"/>
  <workbookProtection workbookAlgorithmName="SHA-512" workbookHashValue="lBKed1zc3MP+vXPVUXz1TCoS7N7KXc7dqm1Zx7mMDVAleODj2XewgTNWylmLTtH/IBHlGZnmGJXrQG9n0p65tA==" workbookSaltValue="mrIbd1ptD8VpmORRL0a7Cw==" workbookSpinCount="100000" lockStructure="1"/>
  <bookViews>
    <workbookView xWindow="-120" yWindow="-120" windowWidth="29040" windowHeight="15720" xr2:uid="{A6D366C4-9553-4EF9-B719-D6A258A92552}"/>
  </bookViews>
  <sheets>
    <sheet name="Menu" sheetId="32263" r:id="rId1"/>
    <sheet name="ProporcIVA" sheetId="32261" r:id="rId2"/>
    <sheet name="ProporcISR" sheetId="32264" r:id="rId3"/>
    <sheet name="2025" sheetId="32256" state="hidden" r:id="rId4"/>
    <sheet name="2025-2" sheetId="32262" state="hidden" r:id="rId5"/>
  </sheets>
  <definedNames>
    <definedName name="_xlnm.Print_Area" localSheetId="3">'2025'!$A$1:$N$73</definedName>
    <definedName name="_xlnm.Print_Area" localSheetId="4">'2025-2'!$A$1:$L$61</definedName>
    <definedName name="_xlnm.Print_Area" localSheetId="2">ProporcISR!$A$1:$E$21</definedName>
    <definedName name="_xlnm.Print_Area" localSheetId="1">ProporcIVA!$A$1:$N$74</definedName>
    <definedName name="_xlnm.Print_Titles" localSheetId="4">'2025-2'!$2:$4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32264" l="1"/>
  <c r="B3" i="32264"/>
  <c r="D13" i="32264"/>
  <c r="D17" i="32264" s="1"/>
  <c r="D18" i="32264" s="1"/>
  <c r="D19" i="32264" s="1"/>
  <c r="I59" i="32256" l="1"/>
  <c r="I58" i="32256"/>
  <c r="H58" i="32256"/>
  <c r="I56" i="32256"/>
  <c r="I52" i="32256"/>
  <c r="I48" i="32256"/>
  <c r="I44" i="32256"/>
  <c r="I40" i="32256"/>
  <c r="I36" i="32256"/>
  <c r="I32" i="32256"/>
  <c r="I28" i="32256"/>
  <c r="I24" i="32256"/>
  <c r="I20" i="32256"/>
  <c r="I16" i="32256"/>
  <c r="I12" i="32256"/>
  <c r="I9" i="32256"/>
  <c r="C8" i="32262"/>
  <c r="F8" i="32262"/>
  <c r="F57" i="32262" s="1"/>
  <c r="I8" i="32262"/>
  <c r="C11" i="32262"/>
  <c r="F11" i="32262"/>
  <c r="D12" i="32262"/>
  <c r="D13" i="32262" s="1"/>
  <c r="E12" i="32262"/>
  <c r="E13" i="32262" s="1"/>
  <c r="G12" i="32262" s="1"/>
  <c r="F12" i="32262"/>
  <c r="I12" i="32262"/>
  <c r="I56" i="32262" s="1"/>
  <c r="C15" i="32262"/>
  <c r="F15" i="32262"/>
  <c r="I16" i="32262"/>
  <c r="C19" i="32262"/>
  <c r="F19" i="32262"/>
  <c r="I20" i="32262"/>
  <c r="C23" i="32262"/>
  <c r="F23" i="32262"/>
  <c r="I24" i="32262"/>
  <c r="C27" i="32262"/>
  <c r="F27" i="32262"/>
  <c r="C31" i="32262"/>
  <c r="F31" i="32262"/>
  <c r="C35" i="32262"/>
  <c r="F35" i="32262"/>
  <c r="C39" i="32262"/>
  <c r="F39" i="32262"/>
  <c r="C43" i="32262"/>
  <c r="F43" i="32262"/>
  <c r="I44" i="32262"/>
  <c r="C47" i="32262"/>
  <c r="F47" i="32262"/>
  <c r="I48" i="32262"/>
  <c r="C51" i="32262"/>
  <c r="F51" i="32262"/>
  <c r="I52" i="32262"/>
  <c r="B56" i="32262"/>
  <c r="D57" i="32262"/>
  <c r="E57" i="32262"/>
  <c r="H12" i="32262" l="1"/>
  <c r="J12" i="32262"/>
  <c r="L12" i="32262" s="1"/>
  <c r="F13" i="32262"/>
  <c r="D58" i="32262"/>
  <c r="E58" i="32262"/>
  <c r="F58" i="32262" s="1"/>
  <c r="E16" i="32262"/>
  <c r="D16" i="32262"/>
  <c r="E9" i="32262"/>
  <c r="G8" i="32262" s="1"/>
  <c r="D9" i="32262"/>
  <c r="F9" i="32262" s="1"/>
  <c r="C56" i="32262"/>
  <c r="E20" i="32262" l="1"/>
  <c r="J8" i="32262"/>
  <c r="L8" i="32262" s="1"/>
  <c r="D20" i="32262"/>
  <c r="F16" i="32262"/>
  <c r="E17" i="32262" s="1"/>
  <c r="G16" i="32262" s="1"/>
  <c r="D17" i="32262"/>
  <c r="H8" i="32262"/>
  <c r="G57" i="32262"/>
  <c r="H57" i="32262"/>
  <c r="H16" i="32262" l="1"/>
  <c r="J16" i="32262"/>
  <c r="L16" i="32262" s="1"/>
  <c r="F17" i="32262"/>
  <c r="D24" i="32262"/>
  <c r="F20" i="32262"/>
  <c r="D21" i="32262" s="1"/>
  <c r="E24" i="32262"/>
  <c r="E21" i="32262"/>
  <c r="F21" i="32262" l="1"/>
  <c r="G20" i="32262"/>
  <c r="E28" i="32262"/>
  <c r="D28" i="32262"/>
  <c r="F24" i="32262"/>
  <c r="E25" i="32262" s="1"/>
  <c r="D25" i="32262"/>
  <c r="F25" i="32262" l="1"/>
  <c r="G24" i="32262"/>
  <c r="D32" i="32262"/>
  <c r="F28" i="32262"/>
  <c r="D29" i="32262" s="1"/>
  <c r="E29" i="32262"/>
  <c r="E32" i="32262"/>
  <c r="H20" i="32262"/>
  <c r="J20" i="32262"/>
  <c r="L20" i="32262" s="1"/>
  <c r="F32" i="32262" l="1"/>
  <c r="E33" i="32262" s="1"/>
  <c r="E36" i="32262"/>
  <c r="G28" i="32262"/>
  <c r="F29" i="32262"/>
  <c r="D33" i="32262"/>
  <c r="D36" i="32262"/>
  <c r="J24" i="32262"/>
  <c r="L24" i="32262" s="1"/>
  <c r="H24" i="32262"/>
  <c r="F33" i="32262" l="1"/>
  <c r="G32" i="32262"/>
  <c r="D40" i="32262"/>
  <c r="J28" i="32262"/>
  <c r="L28" i="32262" s="1"/>
  <c r="H28" i="32262"/>
  <c r="E40" i="32262"/>
  <c r="F36" i="32262"/>
  <c r="D37" i="32262" s="1"/>
  <c r="E37" i="32262"/>
  <c r="F37" i="32262" l="1"/>
  <c r="G36" i="32262"/>
  <c r="F40" i="32262"/>
  <c r="E41" i="32262" s="1"/>
  <c r="E44" i="32262"/>
  <c r="D44" i="32262"/>
  <c r="D41" i="32262"/>
  <c r="H32" i="32262"/>
  <c r="J32" i="32262"/>
  <c r="L32" i="32262" s="1"/>
  <c r="F41" i="32262" l="1"/>
  <c r="G40" i="32262"/>
  <c r="D48" i="32262"/>
  <c r="E48" i="32262"/>
  <c r="F44" i="32262"/>
  <c r="D45" i="32262" s="1"/>
  <c r="E45" i="32262"/>
  <c r="H36" i="32262"/>
  <c r="J36" i="32262"/>
  <c r="L36" i="32262" s="1"/>
  <c r="E52" i="32262" l="1"/>
  <c r="F48" i="32262"/>
  <c r="E49" i="32262" s="1"/>
  <c r="G44" i="32262"/>
  <c r="F45" i="32262"/>
  <c r="D49" i="32262"/>
  <c r="D52" i="32262"/>
  <c r="J40" i="32262"/>
  <c r="L40" i="32262" s="1"/>
  <c r="H40" i="32262"/>
  <c r="G48" i="32262" l="1"/>
  <c r="F49" i="32262"/>
  <c r="J44" i="32262"/>
  <c r="L44" i="32262" s="1"/>
  <c r="H44" i="32262"/>
  <c r="F52" i="32262"/>
  <c r="D53" i="32262" s="1"/>
  <c r="E53" i="32262" l="1"/>
  <c r="J48" i="32262"/>
  <c r="L48" i="32262" s="1"/>
  <c r="H48" i="32262"/>
  <c r="F53" i="32262" l="1"/>
  <c r="G52" i="32262"/>
  <c r="G9" i="32261"/>
  <c r="F10" i="32261" s="1"/>
  <c r="D9" i="32261"/>
  <c r="D13" i="32261" s="1"/>
  <c r="D52" i="32261"/>
  <c r="D48" i="32261"/>
  <c r="D44" i="32261"/>
  <c r="D40" i="32261"/>
  <c r="D36" i="32261"/>
  <c r="F40" i="32256"/>
  <c r="K40" i="32256"/>
  <c r="F36" i="32256"/>
  <c r="K36" i="32256" s="1"/>
  <c r="F32" i="32256"/>
  <c r="G32" i="32256" s="1"/>
  <c r="R32" i="32256" s="1"/>
  <c r="K32" i="32256"/>
  <c r="F28" i="32256"/>
  <c r="K28" i="32256" s="1"/>
  <c r="F24" i="32256"/>
  <c r="K24" i="32256" s="1"/>
  <c r="F20" i="32256"/>
  <c r="G20" i="32256" s="1"/>
  <c r="R20" i="32256" s="1"/>
  <c r="F16" i="32256"/>
  <c r="F17" i="32256" s="1"/>
  <c r="D24" i="32256"/>
  <c r="M56" i="32261"/>
  <c r="J56" i="32261"/>
  <c r="K52" i="32261"/>
  <c r="G52" i="32261"/>
  <c r="K48" i="32261"/>
  <c r="G48" i="32261"/>
  <c r="K44" i="32261"/>
  <c r="G44" i="32261"/>
  <c r="K40" i="32261"/>
  <c r="G40" i="32261"/>
  <c r="K36" i="32261"/>
  <c r="G36" i="32261"/>
  <c r="K32" i="32261"/>
  <c r="G32" i="32261"/>
  <c r="D32" i="32261"/>
  <c r="K28" i="32261"/>
  <c r="G28" i="32261"/>
  <c r="D28" i="32261"/>
  <c r="K24" i="32261"/>
  <c r="G24" i="32261"/>
  <c r="D24" i="32261"/>
  <c r="K20" i="32261"/>
  <c r="G20" i="32261"/>
  <c r="D20" i="32261"/>
  <c r="K16" i="32261"/>
  <c r="G16" i="32261"/>
  <c r="D16" i="32261"/>
  <c r="E13" i="32261"/>
  <c r="E17" i="32261" s="1"/>
  <c r="K12" i="32261"/>
  <c r="G12" i="32261"/>
  <c r="D12" i="32261"/>
  <c r="H10" i="32261"/>
  <c r="K9" i="32261"/>
  <c r="F13" i="32261"/>
  <c r="C13" i="32261"/>
  <c r="C17" i="32261"/>
  <c r="C21" i="32261" s="1"/>
  <c r="C25" i="32261" s="1"/>
  <c r="C29" i="32261" s="1"/>
  <c r="C33" i="32261" s="1"/>
  <c r="C37" i="32261" s="1"/>
  <c r="C41" i="32261" s="1"/>
  <c r="C45" i="32261" s="1"/>
  <c r="C49" i="32261" s="1"/>
  <c r="C53" i="32261" s="1"/>
  <c r="C56" i="32261" s="1"/>
  <c r="D52" i="32256"/>
  <c r="D48" i="32256"/>
  <c r="D44" i="32256"/>
  <c r="G9" i="32256"/>
  <c r="E10" i="32256" s="1"/>
  <c r="G10" i="32256" s="1"/>
  <c r="G12" i="32256"/>
  <c r="R12" i="32256" s="1"/>
  <c r="G36" i="32256"/>
  <c r="R36" i="32256" s="1"/>
  <c r="G40" i="32256"/>
  <c r="R40" i="32256" s="1"/>
  <c r="G44" i="32256"/>
  <c r="F13" i="32256"/>
  <c r="K44" i="32256"/>
  <c r="D40" i="32256"/>
  <c r="D36" i="32256"/>
  <c r="D32" i="32256"/>
  <c r="D28" i="32256"/>
  <c r="D20" i="32256"/>
  <c r="D16" i="32256"/>
  <c r="D9" i="32256"/>
  <c r="H9" i="32256" s="1"/>
  <c r="L9" i="32256" s="1"/>
  <c r="N9" i="32256" s="1"/>
  <c r="D12" i="32256"/>
  <c r="K52" i="32256"/>
  <c r="K48" i="32256"/>
  <c r="K9" i="32256"/>
  <c r="K12" i="32256"/>
  <c r="K20" i="32256"/>
  <c r="R9" i="32256"/>
  <c r="R44" i="32256"/>
  <c r="G48" i="32256"/>
  <c r="R48" i="32256" s="1"/>
  <c r="G52" i="32256"/>
  <c r="R52" i="32256" s="1"/>
  <c r="E13" i="32256"/>
  <c r="E17" i="32256" s="1"/>
  <c r="Q56" i="32256"/>
  <c r="H10" i="32256"/>
  <c r="J56" i="32256"/>
  <c r="C13" i="32256"/>
  <c r="C17" i="32256" s="1"/>
  <c r="C21" i="32256" s="1"/>
  <c r="C25" i="32256" s="1"/>
  <c r="C29" i="32256" s="1"/>
  <c r="C33" i="32256" s="1"/>
  <c r="C37" i="32256" s="1"/>
  <c r="C41" i="32256" s="1"/>
  <c r="C45" i="32256" s="1"/>
  <c r="C49" i="32256" s="1"/>
  <c r="C53" i="32256" s="1"/>
  <c r="C56" i="32256" s="1"/>
  <c r="F10" i="32256"/>
  <c r="M56" i="32256"/>
  <c r="G24" i="32256"/>
  <c r="R24" i="32256" s="1"/>
  <c r="E10" i="32261" l="1"/>
  <c r="H9" i="32261"/>
  <c r="I9" i="32261"/>
  <c r="G10" i="32261"/>
  <c r="G13" i="32261"/>
  <c r="G17" i="32261" s="1"/>
  <c r="G21" i="32261" s="1"/>
  <c r="G25" i="32261" s="1"/>
  <c r="G29" i="32261" s="1"/>
  <c r="G33" i="32261" s="1"/>
  <c r="G37" i="32261" s="1"/>
  <c r="G41" i="32261" s="1"/>
  <c r="G45" i="32261" s="1"/>
  <c r="G49" i="32261" s="1"/>
  <c r="G53" i="32261" s="1"/>
  <c r="G56" i="32261" s="1"/>
  <c r="K56" i="32261"/>
  <c r="D17" i="32261"/>
  <c r="D21" i="32261" s="1"/>
  <c r="D25" i="32261" s="1"/>
  <c r="D29" i="32261" s="1"/>
  <c r="D33" i="32261" s="1"/>
  <c r="D37" i="32261" s="1"/>
  <c r="D41" i="32261" s="1"/>
  <c r="D45" i="32261" s="1"/>
  <c r="D49" i="32261" s="1"/>
  <c r="D53" i="32261" s="1"/>
  <c r="D56" i="32261" s="1"/>
  <c r="G58" i="32261" s="1"/>
  <c r="E21" i="32256"/>
  <c r="F21" i="32256"/>
  <c r="D13" i="32256"/>
  <c r="D17" i="32256" s="1"/>
  <c r="D21" i="32256" s="1"/>
  <c r="D25" i="32256" s="1"/>
  <c r="D29" i="32256" s="1"/>
  <c r="D33" i="32256" s="1"/>
  <c r="D37" i="32256" s="1"/>
  <c r="D41" i="32256" s="1"/>
  <c r="G13" i="32256"/>
  <c r="K16" i="32256"/>
  <c r="G16" i="32256"/>
  <c r="R16" i="32256" s="1"/>
  <c r="G28" i="32256"/>
  <c r="R28" i="32256" s="1"/>
  <c r="O9" i="32256"/>
  <c r="D45" i="32256"/>
  <c r="D49" i="32256" s="1"/>
  <c r="D53" i="32256" s="1"/>
  <c r="D56" i="32256" s="1"/>
  <c r="L9" i="32261"/>
  <c r="N9" i="32261" s="1"/>
  <c r="F17" i="32261"/>
  <c r="E21" i="32261"/>
  <c r="J52" i="32262"/>
  <c r="L52" i="32262" s="1"/>
  <c r="L56" i="32262" s="1"/>
  <c r="H52" i="32262"/>
  <c r="H56" i="32262" s="1"/>
  <c r="H59" i="32262" s="1"/>
  <c r="G56" i="32262"/>
  <c r="G59" i="32262" s="1"/>
  <c r="G60" i="32262" s="1"/>
  <c r="F14" i="32261" l="1"/>
  <c r="H12" i="32261" s="1"/>
  <c r="E14" i="32261"/>
  <c r="G14" i="32261" s="1"/>
  <c r="L12" i="32261"/>
  <c r="N12" i="32261" s="1"/>
  <c r="I12" i="32261"/>
  <c r="E18" i="32261"/>
  <c r="G17" i="32256"/>
  <c r="F14" i="32256"/>
  <c r="H12" i="32256" s="1"/>
  <c r="F25" i="32256"/>
  <c r="E25" i="32256"/>
  <c r="K56" i="32256"/>
  <c r="E14" i="32256"/>
  <c r="G14" i="32256" s="1"/>
  <c r="G58" i="32256"/>
  <c r="G57" i="32261"/>
  <c r="F18" i="32261"/>
  <c r="H16" i="32261" s="1"/>
  <c r="I16" i="32261" s="1"/>
  <c r="F21" i="32261"/>
  <c r="E22" i="32261"/>
  <c r="E25" i="32261"/>
  <c r="G18" i="32261" l="1"/>
  <c r="E29" i="32256"/>
  <c r="F29" i="32256"/>
  <c r="O12" i="32256"/>
  <c r="L12" i="32256"/>
  <c r="G21" i="32256"/>
  <c r="E18" i="32256"/>
  <c r="F18" i="32256"/>
  <c r="H16" i="32256" s="1"/>
  <c r="E29" i="32261"/>
  <c r="E26" i="32261"/>
  <c r="F22" i="32261"/>
  <c r="H20" i="32261" s="1"/>
  <c r="I20" i="32261" s="1"/>
  <c r="F25" i="32261"/>
  <c r="L16" i="32261"/>
  <c r="G18" i="32256" l="1"/>
  <c r="F33" i="32256"/>
  <c r="N12" i="32256"/>
  <c r="E33" i="32256"/>
  <c r="O16" i="32256"/>
  <c r="L16" i="32256"/>
  <c r="N16" i="32256" s="1"/>
  <c r="G25" i="32256"/>
  <c r="F22" i="32256"/>
  <c r="H20" i="32256" s="1"/>
  <c r="E22" i="32256"/>
  <c r="G22" i="32256" s="1"/>
  <c r="N16" i="32261"/>
  <c r="F29" i="32261"/>
  <c r="F26" i="32261"/>
  <c r="H24" i="32261" s="1"/>
  <c r="I24" i="32261" s="1"/>
  <c r="L20" i="32261"/>
  <c r="N20" i="32261" s="1"/>
  <c r="G22" i="32261"/>
  <c r="G26" i="32261"/>
  <c r="E30" i="32261"/>
  <c r="E33" i="32261"/>
  <c r="G29" i="32256" l="1"/>
  <c r="E26" i="32256"/>
  <c r="F26" i="32256"/>
  <c r="H24" i="32256" s="1"/>
  <c r="E37" i="32256"/>
  <c r="O20" i="32256"/>
  <c r="L20" i="32256"/>
  <c r="N20" i="32256" s="1"/>
  <c r="F37" i="32256"/>
  <c r="L24" i="32261"/>
  <c r="N24" i="32261" s="1"/>
  <c r="E37" i="32261"/>
  <c r="E34" i="32261"/>
  <c r="F33" i="32261"/>
  <c r="F30" i="32261"/>
  <c r="H28" i="32261" s="1"/>
  <c r="I28" i="32261" s="1"/>
  <c r="F41" i="32256" l="1"/>
  <c r="E41" i="32256"/>
  <c r="O24" i="32256"/>
  <c r="L24" i="32256"/>
  <c r="G26" i="32256"/>
  <c r="G33" i="32256"/>
  <c r="F30" i="32256"/>
  <c r="H28" i="32256" s="1"/>
  <c r="E30" i="32256"/>
  <c r="L28" i="32261"/>
  <c r="F34" i="32261"/>
  <c r="H32" i="32261" s="1"/>
  <c r="I32" i="32261" s="1"/>
  <c r="F37" i="32261"/>
  <c r="E41" i="32261"/>
  <c r="E38" i="32261"/>
  <c r="G30" i="32261"/>
  <c r="G30" i="32256" l="1"/>
  <c r="O28" i="32256"/>
  <c r="L28" i="32256"/>
  <c r="N28" i="32256" s="1"/>
  <c r="G37" i="32256"/>
  <c r="E34" i="32256"/>
  <c r="F34" i="32256"/>
  <c r="H32" i="32256" s="1"/>
  <c r="N24" i="32256"/>
  <c r="E45" i="32256"/>
  <c r="F45" i="32256"/>
  <c r="G34" i="32261"/>
  <c r="E42" i="32261"/>
  <c r="E45" i="32261"/>
  <c r="F41" i="32261"/>
  <c r="F38" i="32261"/>
  <c r="H36" i="32261" s="1"/>
  <c r="I36" i="32261" s="1"/>
  <c r="L32" i="32261"/>
  <c r="N32" i="32261" s="1"/>
  <c r="N28" i="32261"/>
  <c r="F49" i="32256" l="1"/>
  <c r="E49" i="32256"/>
  <c r="O32" i="32256"/>
  <c r="L32" i="32256"/>
  <c r="G34" i="32256"/>
  <c r="G41" i="32256"/>
  <c r="F38" i="32256"/>
  <c r="H36" i="32256" s="1"/>
  <c r="E38" i="32256"/>
  <c r="G38" i="32256" s="1"/>
  <c r="L36" i="32261"/>
  <c r="F42" i="32261"/>
  <c r="H40" i="32261" s="1"/>
  <c r="I40" i="32261" s="1"/>
  <c r="F45" i="32261"/>
  <c r="E49" i="32261"/>
  <c r="E46" i="32261"/>
  <c r="G42" i="32261"/>
  <c r="G38" i="32261"/>
  <c r="O36" i="32256" l="1"/>
  <c r="L36" i="32256"/>
  <c r="N36" i="32256" s="1"/>
  <c r="N32" i="32256"/>
  <c r="G45" i="32256"/>
  <c r="E42" i="32256"/>
  <c r="F42" i="32256"/>
  <c r="H40" i="32256" s="1"/>
  <c r="E53" i="32256"/>
  <c r="F53" i="32256"/>
  <c r="E50" i="32261"/>
  <c r="E53" i="32261"/>
  <c r="F49" i="32261"/>
  <c r="F46" i="32261"/>
  <c r="H44" i="32261" s="1"/>
  <c r="I44" i="32261" s="1"/>
  <c r="L40" i="32261"/>
  <c r="N40" i="32261" s="1"/>
  <c r="N36" i="32261"/>
  <c r="F56" i="32256" l="1"/>
  <c r="E56" i="32256"/>
  <c r="L40" i="32256"/>
  <c r="O40" i="32256"/>
  <c r="G42" i="32256"/>
  <c r="G49" i="32256"/>
  <c r="F46" i="32256"/>
  <c r="H44" i="32256" s="1"/>
  <c r="E46" i="32256"/>
  <c r="G46" i="32256" s="1"/>
  <c r="L44" i="32261"/>
  <c r="F53" i="32261"/>
  <c r="F50" i="32261"/>
  <c r="H48" i="32261" s="1"/>
  <c r="I48" i="32261" s="1"/>
  <c r="E56" i="32261"/>
  <c r="E57" i="32261" s="1"/>
  <c r="E54" i="32261"/>
  <c r="G50" i="32261"/>
  <c r="G46" i="32261"/>
  <c r="G53" i="32256" l="1"/>
  <c r="E50" i="32256"/>
  <c r="F50" i="32256"/>
  <c r="H48" i="32256" s="1"/>
  <c r="N40" i="32256"/>
  <c r="O44" i="32256"/>
  <c r="L44" i="32256"/>
  <c r="N44" i="32256" s="1"/>
  <c r="L48" i="32261"/>
  <c r="N48" i="32261" s="1"/>
  <c r="F54" i="32261"/>
  <c r="H52" i="32261" s="1"/>
  <c r="I52" i="32261" s="1"/>
  <c r="F56" i="32261"/>
  <c r="F57" i="32261" s="1"/>
  <c r="H58" i="32261" s="1"/>
  <c r="I58" i="32261" s="1"/>
  <c r="N44" i="32261"/>
  <c r="O48" i="32256" l="1"/>
  <c r="L48" i="32256"/>
  <c r="N48" i="32256" s="1"/>
  <c r="G50" i="32256"/>
  <c r="G56" i="32256"/>
  <c r="F54" i="32256"/>
  <c r="H52" i="32256" s="1"/>
  <c r="E54" i="32256"/>
  <c r="G54" i="32256" s="1"/>
  <c r="E58" i="32261"/>
  <c r="K63" i="32261"/>
  <c r="L52" i="32261"/>
  <c r="H56" i="32261"/>
  <c r="G54" i="32261"/>
  <c r="I56" i="32261" l="1"/>
  <c r="I59" i="32261" s="1"/>
  <c r="K62" i="32261"/>
  <c r="L52" i="32256"/>
  <c r="O52" i="32256"/>
  <c r="O56" i="32256" s="1"/>
  <c r="H56" i="32256"/>
  <c r="G57" i="32256"/>
  <c r="R56" i="32256"/>
  <c r="E57" i="32256"/>
  <c r="F57" i="32256"/>
  <c r="K64" i="32261"/>
  <c r="G64" i="32261" s="1"/>
  <c r="H59" i="32261"/>
  <c r="N52" i="32261"/>
  <c r="N56" i="32261" s="1"/>
  <c r="L56" i="32261"/>
  <c r="E58" i="32256" l="1"/>
  <c r="K63" i="32256"/>
  <c r="K62" i="32256"/>
  <c r="H59" i="32256"/>
  <c r="N52" i="32256"/>
  <c r="N56" i="32256" s="1"/>
  <c r="L56" i="32256"/>
  <c r="K64" i="32256" l="1"/>
  <c r="G64" i="3225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RENE MENDEZ</author>
    <author>Jonnathan Ricardo Recinos Perez</author>
  </authors>
  <commentList>
    <comment ref="N9" authorId="0" shapeId="0" xr:uid="{23BBB63E-71E9-4027-8906-8AB831FA94FA}">
      <text>
        <r>
          <rPr>
            <b/>
            <sz val="8"/>
            <color indexed="81"/>
            <rFont val="Tahoma"/>
            <family val="2"/>
          </rPr>
          <t>RENE MENDEZ:</t>
        </r>
        <r>
          <rPr>
            <sz val="8"/>
            <color indexed="81"/>
            <rFont val="Tahoma"/>
            <family val="2"/>
          </rPr>
          <t xml:space="preserve">
La diferencia se debe al Ajuste de Proporcionalidad Anual y la retención del 1%.</t>
        </r>
      </text>
    </comment>
    <comment ref="N12" authorId="0" shapeId="0" xr:uid="{4F0DA9DA-7331-44C0-9641-6C7C8E5D37B0}">
      <text>
        <r>
          <rPr>
            <b/>
            <sz val="8"/>
            <color indexed="81"/>
            <rFont val="Tahoma"/>
            <family val="2"/>
          </rPr>
          <t>RENE MENDEZ:</t>
        </r>
        <r>
          <rPr>
            <sz val="8"/>
            <color indexed="81"/>
            <rFont val="Tahoma"/>
            <family val="2"/>
          </rPr>
          <t xml:space="preserve">
La diferencia se debe al Ajuste de Proporcionalidad Anual y la retención del 1%.</t>
        </r>
      </text>
    </comment>
    <comment ref="G64" authorId="1" shapeId="0" xr:uid="{F2084B75-6979-4275-822A-0DF1111D2D48}">
      <text>
        <r>
          <rPr>
            <sz val="9"/>
            <color indexed="81"/>
            <rFont val="Tahoma"/>
            <family val="2"/>
          </rPr>
          <t>Esta casilla indica la casilla en la que irá el ajuste en enero del próximo año.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RENE MENDEZ</author>
    <author>Pc</author>
  </authors>
  <commentList>
    <comment ref="N9" authorId="0" shapeId="0" xr:uid="{9C454635-5BB5-48B0-A1F4-B5F65395310D}">
      <text>
        <r>
          <rPr>
            <b/>
            <sz val="8"/>
            <color indexed="81"/>
            <rFont val="Tahoma"/>
            <family val="2"/>
          </rPr>
          <t>RENE MENDEZ:</t>
        </r>
        <r>
          <rPr>
            <sz val="8"/>
            <color indexed="81"/>
            <rFont val="Tahoma"/>
            <family val="2"/>
          </rPr>
          <t xml:space="preserve">
La diferencia se debe al Ajuste de Proporcionalidad Anual y la retención del 1%.</t>
        </r>
      </text>
    </comment>
    <comment ref="N12" authorId="0" shapeId="0" xr:uid="{48B5C10B-6566-451C-9228-9243E1DFAB94}">
      <text>
        <r>
          <rPr>
            <b/>
            <sz val="8"/>
            <color indexed="81"/>
            <rFont val="Tahoma"/>
            <family val="2"/>
          </rPr>
          <t>RENE MENDEZ:</t>
        </r>
        <r>
          <rPr>
            <sz val="8"/>
            <color indexed="81"/>
            <rFont val="Tahoma"/>
            <family val="2"/>
          </rPr>
          <t xml:space="preserve">
La diferencia se debe al Ajuste de Proporcionalidad Anual y la retención del 1%.</t>
        </r>
      </text>
    </comment>
    <comment ref="R24" authorId="1" shapeId="0" xr:uid="{0123E204-6D22-4ADD-B06C-3FDECC3C486E}">
      <text>
        <r>
          <rPr>
            <b/>
            <sz val="8"/>
            <color indexed="81"/>
            <rFont val="Tahoma"/>
            <family val="2"/>
          </rPr>
          <t xml:space="preserve">René Méndez:
</t>
        </r>
        <r>
          <rPr>
            <sz val="8"/>
            <color indexed="81"/>
            <rFont val="Tahoma"/>
            <family val="2"/>
          </rPr>
          <t>Esta diferencia se debe a que en la reclasificación de ingresos de Mayo, se aplicaron al reves las cuentas, esat diferencia se ajusta en Dic-07.</t>
        </r>
      </text>
    </comment>
    <comment ref="R28" authorId="1" shapeId="0" xr:uid="{069FCE2E-0C80-43BD-BB57-F9AF1307416D}">
      <text>
        <r>
          <rPr>
            <b/>
            <sz val="8"/>
            <color indexed="81"/>
            <rFont val="Tahoma"/>
            <family val="2"/>
          </rPr>
          <t>René Méndez:</t>
        </r>
        <r>
          <rPr>
            <sz val="8"/>
            <color indexed="81"/>
            <rFont val="Tahoma"/>
            <family val="2"/>
          </rPr>
          <t xml:space="preserve">
Reclasificación por mala aplicación el 31-03-07.
</t>
        </r>
      </text>
    </comment>
  </commentList>
</comments>
</file>

<file path=xl/sharedStrings.xml><?xml version="1.0" encoding="utf-8"?>
<sst xmlns="http://schemas.openxmlformats.org/spreadsheetml/2006/main" count="202" uniqueCount="102">
  <si>
    <t xml:space="preserve">CUADRO DE PROPORCIONALIDAD DEL CRÉDITO FISCAL </t>
  </si>
  <si>
    <t>ART. 67 LIT. K) R.A.C.T.</t>
  </si>
  <si>
    <t>COMPRAS</t>
  </si>
  <si>
    <t>VENTAS</t>
  </si>
  <si>
    <t>CREDITO  FISCAL PROPORCIONAL</t>
  </si>
  <si>
    <t>IMPUESTO ANTICIPO A CTA.</t>
  </si>
  <si>
    <t>DEBITO FISCAL</t>
  </si>
  <si>
    <t>(IMPUESTO A PAGAR) / REMANENTE DE CREDITO FISCAL</t>
  </si>
  <si>
    <t>IMPUESTO PAGADO</t>
  </si>
  <si>
    <t>DIFERENCIA A PAGAR</t>
  </si>
  <si>
    <t>GRAVADAS</t>
  </si>
  <si>
    <t>CREDITO  FISCAL</t>
  </si>
  <si>
    <t>EXENTAS</t>
  </si>
  <si>
    <t>TOTAL</t>
  </si>
  <si>
    <t>ENERO</t>
  </si>
  <si>
    <t>Porcentaje</t>
  </si>
  <si>
    <t>FEBRERO</t>
  </si>
  <si>
    <t>Acumulado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</si>
  <si>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</si>
  <si>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</si>
  <si>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</si>
  <si>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</si>
  <si>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</si>
  <si>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</si>
  <si>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</si>
  <si>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</si>
  <si>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</si>
  <si>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</si>
  <si>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AJUSTE ANUAL</t>
  </si>
  <si>
    <t>Sobre</t>
  </si>
  <si>
    <t>DIFERENCIA</t>
  </si>
  <si>
    <t>Resumen:</t>
  </si>
  <si>
    <t>Credito fiscal deducido</t>
  </si>
  <si>
    <t>Impuesto no pagado</t>
  </si>
  <si>
    <t>Credito Fiscal proporcional</t>
  </si>
  <si>
    <t>para ajuste en enero</t>
  </si>
  <si>
    <t>Obtenido de las declaraciones de IVA</t>
  </si>
  <si>
    <t>Obtenido de los Libros de IVA</t>
  </si>
  <si>
    <t>Sumas verificadas</t>
  </si>
  <si>
    <t>Conciliación Ingresos</t>
  </si>
  <si>
    <t>Diferencia.</t>
  </si>
  <si>
    <t>Contabilidad</t>
  </si>
  <si>
    <t>Este cálculo es extracontable.-</t>
  </si>
  <si>
    <t>Cálculos Efectuados</t>
  </si>
  <si>
    <t>CREDITO  FISCAL proporcional deducido</t>
  </si>
  <si>
    <t>ABC, S.A. DE C.V.</t>
  </si>
  <si>
    <r>
      <t xml:space="preserve">PERIODOS TRIBUTARIOS </t>
    </r>
    <r>
      <rPr>
        <b/>
        <sz val="10"/>
        <color indexed="12"/>
        <rFont val="Times New Roman"/>
        <family val="1"/>
      </rPr>
      <t>2025</t>
    </r>
  </si>
  <si>
    <t>REGISTRO CONSEJO: 4723</t>
  </si>
  <si>
    <t>JONNATHAN RECINOS</t>
  </si>
  <si>
    <t>de Enero a Diciembre/2025</t>
  </si>
  <si>
    <t>Diciembre</t>
  </si>
  <si>
    <t>Noviembre</t>
  </si>
  <si>
    <t>Octubre</t>
  </si>
  <si>
    <t>Septiembre</t>
  </si>
  <si>
    <t>Agosto</t>
  </si>
  <si>
    <t>Total</t>
  </si>
  <si>
    <t>Gravadas</t>
  </si>
  <si>
    <t>Exentas</t>
  </si>
  <si>
    <t>Credito fiscal</t>
  </si>
  <si>
    <t>Compras netas</t>
  </si>
  <si>
    <t>Diferencia</t>
  </si>
  <si>
    <t>(Impuesto determinado) remanente, según declaracion.</t>
  </si>
  <si>
    <t>(Impuesto a pagar)/ remanente credito fiscal</t>
  </si>
  <si>
    <t>Debito fiscal</t>
  </si>
  <si>
    <t>Credito fiscal deducible</t>
  </si>
  <si>
    <t>PERIODOS TRIBUTARIOS</t>
  </si>
  <si>
    <t>INFORMACIÓN DEL ANEXO 15: PROPORCIONALIDAD DEL CRÉDITO FISCAL    EJERCICIO 2025</t>
  </si>
  <si>
    <t xml:space="preserve">CONTRIBUYENTE: </t>
  </si>
  <si>
    <t>Y-2</t>
  </si>
  <si>
    <t>EXENTAS O NO SUJETAS</t>
  </si>
  <si>
    <t>CREDITO  FISCAL proporcional NO deducido cas.132</t>
  </si>
  <si>
    <t>Gasto mensual IVA, casilla 132</t>
  </si>
  <si>
    <t>Totales</t>
  </si>
  <si>
    <t>de Enero a Diciembre del año</t>
  </si>
  <si>
    <t>para ajuste en enero del próximo año</t>
  </si>
  <si>
    <t>ABC123, S.A.S. DE C.V.</t>
  </si>
  <si>
    <t>Código de colores:</t>
  </si>
  <si>
    <t>=</t>
  </si>
  <si>
    <t>Títulos</t>
  </si>
  <si>
    <t>Vínculos</t>
  </si>
  <si>
    <t>Ingresar datos</t>
  </si>
  <si>
    <t>Fórmula, no tocar</t>
  </si>
  <si>
    <t>Material preparado por:</t>
  </si>
  <si>
    <t>MSc. Jonnathan Recinos</t>
  </si>
  <si>
    <t>¡Suscríbete para estar autorizado a usar esta herramienta!</t>
  </si>
  <si>
    <t>Art. 66 LIVA, 25 RIVA y ART. 67 LIT. K) R.A.C.T.</t>
  </si>
  <si>
    <t>Concepto</t>
  </si>
  <si>
    <t>Monto</t>
  </si>
  <si>
    <t>Rentas gravadas</t>
  </si>
  <si>
    <t>Rentas no gravadas</t>
  </si>
  <si>
    <t>Ingresos que no constituyen renta</t>
  </si>
  <si>
    <t>Total base del factor</t>
  </si>
  <si>
    <t>Factor ISR</t>
  </si>
  <si>
    <t>Gastos comunes</t>
  </si>
  <si>
    <t>Gastos deducibles de ISR</t>
  </si>
  <si>
    <t>Gastos no deducibles de ISR</t>
  </si>
  <si>
    <t>AÑO:</t>
  </si>
  <si>
    <t>CUADRO DE PROPORCIONALIDAD DEL CRÉDITO FISCAL AÑO:</t>
  </si>
  <si>
    <t>Proporcionalidad de ISR - Art. 28 LISR</t>
  </si>
  <si>
    <t>Resultados:</t>
  </si>
  <si>
    <t>¡Consulta en REDCOES por el curso relacionalidad a la proporcionalidad IVA e ISR en donde aprendes todo sobre el tema!</t>
  </si>
  <si>
    <t>https://www.reddecontadores.com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</si>
</sst>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#,##0.0000"/>
    <numFmt numFmtId="169" formatCode="_(&quot;$&quot;* #,##0.00_);_(&quot;$&quot;* \(#,##0.00\);_(&quot;$&quot;* &quot;-&quot;_);_(@_)"/>
    <numFmt numFmtId="170" formatCode="_([$€-2]* #,##0.00_);_([$€-2]* \(#,##0.00\);_([$€-2]* &quot;-&quot;??_)"/>
    <numFmt numFmtId="171" formatCode="0.00000%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10"/>
      <color indexed="12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8"/>
      <name val="Arial"/>
      <family val="2"/>
    </font>
    <font>
      <u/>
      <sz val="10"/>
      <name val="Times New Roman"/>
      <family val="1"/>
    </font>
    <font>
      <sz val="9"/>
      <name val="Times New Roman"/>
      <family val="1"/>
    </font>
    <font>
      <b/>
      <sz val="16"/>
      <color rgb="FFFF0000"/>
      <name val="Times New Roman"/>
      <family val="1"/>
    </font>
    <font>
      <b/>
      <sz val="7.5"/>
      <name val="Times New Roman"/>
      <family val="1"/>
    </font>
    <font>
      <sz val="9"/>
      <color indexed="81"/>
      <name val="Tahoma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0"/>
      <name val="Arial"/>
      <family val="2"/>
    </font>
    <font>
      <b/>
      <sz val="12"/>
      <color theme="1"/>
      <name val="Arial"/>
      <family val="2"/>
    </font>
    <font>
      <sz val="12"/>
      <color rgb="FF0070C0"/>
      <name val="Arial"/>
      <family val="2"/>
    </font>
    <font>
      <b/>
      <sz val="14"/>
      <color rgb="FFFF0000"/>
      <name val="Calibri"/>
      <family val="2"/>
      <scheme val="minor"/>
    </font>
    <font>
      <b/>
      <sz val="10"/>
      <color theme="0"/>
      <name val="Times New Roman"/>
      <family val="1"/>
    </font>
    <font>
      <b/>
      <sz val="12"/>
      <color rgb="FF00B050"/>
      <name val="Times New Roman"/>
      <family val="1"/>
    </font>
    <font>
      <u/>
      <sz val="10"/>
      <color theme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color rgb="FF0070C0"/>
      <name val="Arial"/>
      <family val="2"/>
    </font>
    <font>
      <sz val="12"/>
      <color theme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63634"/>
        <bgColor indexed="64"/>
      </patternFill>
    </fill>
    <fill>
      <patternFill patternType="solid">
        <fgColor theme="5" tint="0.399975585192419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170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0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" fillId="0" borderId="0"/>
    <xf numFmtId="0" fontId="17" fillId="0" borderId="0"/>
    <xf numFmtId="0" fontId="25" fillId="0" borderId="0" applyNumberFormat="0" applyFill="0" applyBorder="0" applyAlignment="0" applyProtection="0"/>
  </cellStyleXfs>
  <cellXfs count="200">
    <xf numFmtId="0" fontId="0" fillId="0" borderId="0" xfId="0"/>
    <xf numFmtId="0" fontId="4" fillId="0" borderId="1" xfId="0" applyFont="1" applyBorder="1" applyAlignment="1">
      <alignment horizontal="centerContinuous" vertical="center" wrapText="1"/>
    </xf>
    <xf numFmtId="0" fontId="4" fillId="0" borderId="2" xfId="0" applyFont="1" applyBorder="1" applyAlignment="1">
      <alignment horizontal="centerContinuous" vertical="center" wrapText="1"/>
    </xf>
    <xf numFmtId="4" fontId="5" fillId="0" borderId="3" xfId="0" applyNumberFormat="1" applyFont="1" applyBorder="1" applyAlignment="1">
      <alignment horizontal="right"/>
    </xf>
    <xf numFmtId="4" fontId="5" fillId="0" borderId="4" xfId="0" applyNumberFormat="1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49" fontId="4" fillId="0" borderId="3" xfId="0" applyNumberFormat="1" applyFont="1" applyBorder="1"/>
    <xf numFmtId="169" fontId="5" fillId="0" borderId="3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5" fillId="0" borderId="3" xfId="0" applyNumberFormat="1" applyFont="1" applyBorder="1"/>
    <xf numFmtId="165" fontId="5" fillId="0" borderId="3" xfId="0" applyNumberFormat="1" applyFont="1" applyBorder="1"/>
    <xf numFmtId="165" fontId="5" fillId="0" borderId="3" xfId="0" applyNumberFormat="1" applyFont="1" applyBorder="1" applyAlignment="1">
      <alignment horizontal="right"/>
    </xf>
    <xf numFmtId="4" fontId="5" fillId="0" borderId="5" xfId="0" applyNumberFormat="1" applyFont="1" applyBorder="1" applyAlignment="1">
      <alignment horizontal="right"/>
    </xf>
    <xf numFmtId="3" fontId="5" fillId="0" borderId="5" xfId="0" applyNumberFormat="1" applyFont="1" applyBorder="1"/>
    <xf numFmtId="165" fontId="5" fillId="0" borderId="5" xfId="0" applyNumberFormat="1" applyFont="1" applyBorder="1" applyAlignment="1">
      <alignment horizontal="right"/>
    </xf>
    <xf numFmtId="0" fontId="4" fillId="0" borderId="3" xfId="0" applyFont="1" applyBorder="1"/>
    <xf numFmtId="10" fontId="5" fillId="0" borderId="3" xfId="6" applyNumberFormat="1" applyFont="1" applyBorder="1" applyAlignment="1">
      <alignment horizontal="right"/>
    </xf>
    <xf numFmtId="0" fontId="4" fillId="0" borderId="5" xfId="0" applyFont="1" applyBorder="1"/>
    <xf numFmtId="0" fontId="5" fillId="0" borderId="5" xfId="0" applyFont="1" applyBorder="1" applyAlignment="1">
      <alignment horizontal="right"/>
    </xf>
    <xf numFmtId="0" fontId="4" fillId="0" borderId="6" xfId="0" applyFont="1" applyBorder="1"/>
    <xf numFmtId="4" fontId="5" fillId="0" borderId="7" xfId="0" applyNumberFormat="1" applyFont="1" applyBorder="1"/>
    <xf numFmtId="0" fontId="5" fillId="0" borderId="7" xfId="0" applyFont="1" applyBorder="1"/>
    <xf numFmtId="0" fontId="5" fillId="0" borderId="8" xfId="0" applyFont="1" applyBorder="1"/>
    <xf numFmtId="0" fontId="4" fillId="0" borderId="9" xfId="0" applyFont="1" applyBorder="1"/>
    <xf numFmtId="4" fontId="5" fillId="0" borderId="0" xfId="0" applyNumberFormat="1" applyFont="1"/>
    <xf numFmtId="0" fontId="5" fillId="0" borderId="0" xfId="0" applyFont="1"/>
    <xf numFmtId="0" fontId="5" fillId="0" borderId="10" xfId="0" applyFont="1" applyBorder="1"/>
    <xf numFmtId="0" fontId="4" fillId="0" borderId="0" xfId="0" applyFont="1"/>
    <xf numFmtId="166" fontId="5" fillId="0" borderId="10" xfId="0" applyNumberFormat="1" applyFont="1" applyBorder="1"/>
    <xf numFmtId="0" fontId="4" fillId="0" borderId="11" xfId="0" applyFont="1" applyBorder="1" applyAlignment="1">
      <alignment horizontal="justify"/>
    </xf>
    <xf numFmtId="0" fontId="5" fillId="0" borderId="11" xfId="0" applyFont="1" applyBorder="1"/>
    <xf numFmtId="0" fontId="0" fillId="0" borderId="11" xfId="0" applyBorder="1"/>
    <xf numFmtId="0" fontId="5" fillId="0" borderId="12" xfId="0" applyFont="1" applyBorder="1"/>
    <xf numFmtId="0" fontId="4" fillId="0" borderId="0" xfId="0" applyFont="1" applyAlignment="1">
      <alignment horizontal="justify"/>
    </xf>
    <xf numFmtId="0" fontId="6" fillId="0" borderId="0" xfId="0" applyFont="1"/>
    <xf numFmtId="167" fontId="5" fillId="0" borderId="0" xfId="2" applyFont="1" applyBorder="1" applyAlignment="1">
      <alignment horizontal="right"/>
    </xf>
    <xf numFmtId="49" fontId="5" fillId="0" borderId="4" xfId="0" applyNumberFormat="1" applyFont="1" applyBorder="1"/>
    <xf numFmtId="4" fontId="5" fillId="0" borderId="0" xfId="0" applyNumberFormat="1" applyFont="1" applyAlignment="1">
      <alignment horizontal="right"/>
    </xf>
    <xf numFmtId="169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9" fontId="5" fillId="0" borderId="9" xfId="0" applyNumberFormat="1" applyFont="1" applyBorder="1" applyAlignment="1">
      <alignment horizontal="right"/>
    </xf>
    <xf numFmtId="4" fontId="5" fillId="0" borderId="11" xfId="0" applyNumberFormat="1" applyFont="1" applyBorder="1" applyAlignment="1">
      <alignment horizontal="right"/>
    </xf>
    <xf numFmtId="168" fontId="5" fillId="0" borderId="4" xfId="0" applyNumberFormat="1" applyFont="1" applyBorder="1" applyAlignment="1">
      <alignment horizontal="right"/>
    </xf>
    <xf numFmtId="9" fontId="5" fillId="0" borderId="4" xfId="0" applyNumberFormat="1" applyFont="1" applyBorder="1" applyAlignment="1">
      <alignment horizontal="right"/>
    </xf>
    <xf numFmtId="169" fontId="4" fillId="2" borderId="9" xfId="0" applyNumberFormat="1" applyFont="1" applyFill="1" applyBorder="1" applyAlignment="1">
      <alignment horizontal="right"/>
    </xf>
    <xf numFmtId="167" fontId="0" fillId="0" borderId="0" xfId="0" applyNumberFormat="1"/>
    <xf numFmtId="169" fontId="4" fillId="0" borderId="1" xfId="0" applyNumberFormat="1" applyFont="1" applyBorder="1" applyAlignment="1">
      <alignment horizontal="right"/>
    </xf>
    <xf numFmtId="169" fontId="4" fillId="0" borderId="1" xfId="0" applyNumberFormat="1" applyFont="1" applyBorder="1" applyAlignment="1">
      <alignment horizontal="center"/>
    </xf>
    <xf numFmtId="169" fontId="5" fillId="0" borderId="1" xfId="0" applyNumberFormat="1" applyFont="1" applyBorder="1" applyAlignment="1">
      <alignment horizontal="right"/>
    </xf>
    <xf numFmtId="10" fontId="5" fillId="0" borderId="3" xfId="0" applyNumberFormat="1" applyFont="1" applyBorder="1" applyAlignment="1">
      <alignment horizontal="right"/>
    </xf>
    <xf numFmtId="171" fontId="5" fillId="0" borderId="0" xfId="0" applyNumberFormat="1" applyFont="1"/>
    <xf numFmtId="166" fontId="4" fillId="0" borderId="3" xfId="4" applyFont="1" applyBorder="1" applyAlignment="1">
      <alignment horizontal="right"/>
    </xf>
    <xf numFmtId="167" fontId="5" fillId="0" borderId="0" xfId="3" applyFont="1" applyBorder="1" applyAlignment="1">
      <alignment horizontal="right"/>
    </xf>
    <xf numFmtId="10" fontId="5" fillId="0" borderId="3" xfId="7" applyNumberFormat="1" applyFont="1" applyBorder="1" applyAlignment="1">
      <alignment horizontal="right"/>
    </xf>
    <xf numFmtId="166" fontId="4" fillId="0" borderId="3" xfId="5" applyFont="1" applyBorder="1" applyAlignment="1">
      <alignment horizontal="right"/>
    </xf>
    <xf numFmtId="4" fontId="12" fillId="0" borderId="3" xfId="0" applyNumberFormat="1" applyFont="1" applyBorder="1" applyAlignment="1">
      <alignment horizontal="right"/>
    </xf>
    <xf numFmtId="0" fontId="5" fillId="0" borderId="0" xfId="8" applyFont="1"/>
    <xf numFmtId="39" fontId="5" fillId="0" borderId="0" xfId="8" applyNumberFormat="1" applyFont="1"/>
    <xf numFmtId="39" fontId="5" fillId="3" borderId="0" xfId="8" applyNumberFormat="1" applyFont="1" applyFill="1"/>
    <xf numFmtId="10" fontId="5" fillId="0" borderId="16" xfId="8" applyNumberFormat="1" applyFont="1" applyBorder="1"/>
    <xf numFmtId="39" fontId="5" fillId="0" borderId="16" xfId="8" applyNumberFormat="1" applyFont="1" applyBorder="1"/>
    <xf numFmtId="39" fontId="5" fillId="0" borderId="17" xfId="8" applyNumberFormat="1" applyFont="1" applyBorder="1"/>
    <xf numFmtId="0" fontId="5" fillId="0" borderId="18" xfId="8" applyFont="1" applyBorder="1"/>
    <xf numFmtId="39" fontId="5" fillId="0" borderId="19" xfId="8" applyNumberFormat="1" applyFont="1" applyBorder="1"/>
    <xf numFmtId="0" fontId="5" fillId="0" borderId="20" xfId="8" applyFont="1" applyBorder="1"/>
    <xf numFmtId="0" fontId="5" fillId="0" borderId="19" xfId="8" applyFont="1" applyBorder="1"/>
    <xf numFmtId="49" fontId="5" fillId="0" borderId="21" xfId="8" applyNumberFormat="1" applyFont="1" applyBorder="1"/>
    <xf numFmtId="0" fontId="5" fillId="0" borderId="22" xfId="8" applyFont="1" applyBorder="1"/>
    <xf numFmtId="0" fontId="5" fillId="0" borderId="16" xfId="8" applyFont="1" applyBorder="1"/>
    <xf numFmtId="10" fontId="5" fillId="0" borderId="17" xfId="8" applyNumberFormat="1" applyFont="1" applyBorder="1"/>
    <xf numFmtId="0" fontId="5" fillId="0" borderId="17" xfId="8" applyFont="1" applyBorder="1"/>
    <xf numFmtId="49" fontId="5" fillId="0" borderId="23" xfId="8" applyNumberFormat="1" applyFont="1" applyBorder="1"/>
    <xf numFmtId="39" fontId="5" fillId="0" borderId="22" xfId="8" applyNumberFormat="1" applyFont="1" applyBorder="1"/>
    <xf numFmtId="0" fontId="5" fillId="0" borderId="24" xfId="8" applyFont="1" applyBorder="1"/>
    <xf numFmtId="39" fontId="5" fillId="0" borderId="25" xfId="8" applyNumberFormat="1" applyFont="1" applyBorder="1"/>
    <xf numFmtId="0" fontId="5" fillId="0" borderId="26" xfId="8" applyFont="1" applyBorder="1"/>
    <xf numFmtId="10" fontId="5" fillId="0" borderId="26" xfId="8" applyNumberFormat="1" applyFont="1" applyBorder="1"/>
    <xf numFmtId="10" fontId="5" fillId="0" borderId="25" xfId="8" applyNumberFormat="1" applyFont="1" applyBorder="1"/>
    <xf numFmtId="0" fontId="5" fillId="0" borderId="25" xfId="8" applyFont="1" applyBorder="1"/>
    <xf numFmtId="49" fontId="5" fillId="0" borderId="27" xfId="8" applyNumberFormat="1" applyFont="1" applyBorder="1"/>
    <xf numFmtId="0" fontId="5" fillId="0" borderId="23" xfId="8" applyFont="1" applyBorder="1"/>
    <xf numFmtId="0" fontId="5" fillId="0" borderId="29" xfId="8" applyFont="1" applyBorder="1"/>
    <xf numFmtId="39" fontId="5" fillId="0" borderId="30" xfId="8" applyNumberFormat="1" applyFont="1" applyBorder="1"/>
    <xf numFmtId="0" fontId="5" fillId="0" borderId="31" xfId="8" applyFont="1" applyBorder="1"/>
    <xf numFmtId="0" fontId="5" fillId="0" borderId="30" xfId="8" applyFont="1" applyBorder="1"/>
    <xf numFmtId="0" fontId="5" fillId="0" borderId="32" xfId="8" applyFont="1" applyBorder="1" applyAlignment="1">
      <alignment horizontal="center" vertical="center" wrapText="1"/>
    </xf>
    <xf numFmtId="0" fontId="5" fillId="0" borderId="0" xfId="8" applyFont="1" applyAlignment="1">
      <alignment horizontal="center" vertical="center" wrapText="1"/>
    </xf>
    <xf numFmtId="0" fontId="5" fillId="0" borderId="33" xfId="8" applyFont="1" applyBorder="1" applyAlignment="1">
      <alignment horizontal="center" vertical="center" wrapText="1"/>
    </xf>
    <xf numFmtId="0" fontId="14" fillId="0" borderId="0" xfId="8" applyFont="1" applyAlignment="1">
      <alignment horizontal="center"/>
    </xf>
    <xf numFmtId="169" fontId="5" fillId="4" borderId="0" xfId="0" applyNumberFormat="1" applyFont="1" applyFill="1" applyAlignment="1">
      <alignment horizontal="right"/>
    </xf>
    <xf numFmtId="169" fontId="5" fillId="4" borderId="3" xfId="0" applyNumberFormat="1" applyFont="1" applyFill="1" applyBorder="1" applyAlignment="1">
      <alignment horizontal="right"/>
    </xf>
    <xf numFmtId="39" fontId="5" fillId="4" borderId="16" xfId="8" applyNumberFormat="1" applyFont="1" applyFill="1" applyBorder="1"/>
    <xf numFmtId="39" fontId="5" fillId="4" borderId="17" xfId="8" applyNumberFormat="1" applyFont="1" applyFill="1" applyBorder="1"/>
    <xf numFmtId="39" fontId="5" fillId="4" borderId="28" xfId="8" applyNumberFormat="1" applyFont="1" applyFill="1" applyBorder="1"/>
    <xf numFmtId="0" fontId="5" fillId="0" borderId="34" xfId="8" applyFont="1" applyBorder="1"/>
    <xf numFmtId="0" fontId="5" fillId="0" borderId="35" xfId="8" applyFont="1" applyBorder="1"/>
    <xf numFmtId="39" fontId="5" fillId="0" borderId="35" xfId="8" applyNumberFormat="1" applyFont="1" applyBorder="1"/>
    <xf numFmtId="0" fontId="5" fillId="0" borderId="36" xfId="8" applyFont="1" applyBorder="1"/>
    <xf numFmtId="0" fontId="5" fillId="0" borderId="37" xfId="8" applyFont="1" applyBorder="1"/>
    <xf numFmtId="39" fontId="5" fillId="0" borderId="38" xfId="8" applyNumberFormat="1" applyFont="1" applyBorder="1"/>
    <xf numFmtId="0" fontId="5" fillId="0" borderId="38" xfId="8" applyFont="1" applyBorder="1"/>
    <xf numFmtId="0" fontId="5" fillId="0" borderId="39" xfId="8" applyFont="1" applyBorder="1"/>
    <xf numFmtId="0" fontId="5" fillId="0" borderId="40" xfId="8" applyFont="1" applyBorder="1"/>
    <xf numFmtId="10" fontId="5" fillId="0" borderId="40" xfId="8" applyNumberFormat="1" applyFont="1" applyBorder="1"/>
    <xf numFmtId="10" fontId="5" fillId="0" borderId="20" xfId="8" applyNumberFormat="1" applyFont="1" applyBorder="1"/>
    <xf numFmtId="39" fontId="5" fillId="0" borderId="40" xfId="8" applyNumberFormat="1" applyFont="1" applyBorder="1"/>
    <xf numFmtId="0" fontId="5" fillId="0" borderId="41" xfId="8" applyFont="1" applyBorder="1"/>
    <xf numFmtId="169" fontId="5" fillId="5" borderId="3" xfId="0" applyNumberFormat="1" applyFont="1" applyFill="1" applyBorder="1" applyAlignment="1">
      <alignment horizontal="right"/>
    </xf>
    <xf numFmtId="169" fontId="5" fillId="5" borderId="0" xfId="0" applyNumberFormat="1" applyFont="1" applyFill="1" applyAlignment="1">
      <alignment horizontal="right"/>
    </xf>
    <xf numFmtId="0" fontId="17" fillId="0" borderId="0" xfId="9"/>
    <xf numFmtId="0" fontId="2" fillId="0" borderId="0" xfId="8"/>
    <xf numFmtId="0" fontId="18" fillId="0" borderId="0" xfId="9" applyFont="1"/>
    <xf numFmtId="0" fontId="19" fillId="6" borderId="0" xfId="9" applyFont="1" applyFill="1"/>
    <xf numFmtId="0" fontId="17" fillId="0" borderId="0" xfId="9" applyAlignment="1">
      <alignment horizontal="center"/>
    </xf>
    <xf numFmtId="0" fontId="17" fillId="7" borderId="33" xfId="9" applyFill="1" applyBorder="1"/>
    <xf numFmtId="0" fontId="17" fillId="5" borderId="0" xfId="9" applyFill="1"/>
    <xf numFmtId="0" fontId="17" fillId="8" borderId="0" xfId="9" applyFill="1"/>
    <xf numFmtId="0" fontId="20" fillId="0" borderId="0" xfId="9" applyFont="1"/>
    <xf numFmtId="0" fontId="21" fillId="0" borderId="0" xfId="9" applyFont="1"/>
    <xf numFmtId="0" fontId="1" fillId="0" borderId="0" xfId="8" applyFont="1"/>
    <xf numFmtId="0" fontId="22" fillId="0" borderId="0" xfId="8" applyFont="1"/>
    <xf numFmtId="0" fontId="23" fillId="6" borderId="1" xfId="0" applyFont="1" applyFill="1" applyBorder="1" applyAlignment="1">
      <alignment horizontal="centerContinuous" vertical="center" wrapText="1"/>
    </xf>
    <xf numFmtId="0" fontId="23" fillId="6" borderId="2" xfId="0" applyFont="1" applyFill="1" applyBorder="1" applyAlignment="1">
      <alignment horizontal="centerContinuous" vertical="center" wrapText="1"/>
    </xf>
    <xf numFmtId="0" fontId="23" fillId="6" borderId="8" xfId="0" applyFont="1" applyFill="1" applyBorder="1" applyAlignment="1">
      <alignment horizontal="center" vertical="center" wrapText="1"/>
    </xf>
    <xf numFmtId="0" fontId="23" fillId="6" borderId="12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justify"/>
    </xf>
    <xf numFmtId="0" fontId="4" fillId="0" borderId="11" xfId="0" applyFont="1" applyBorder="1" applyAlignment="1">
      <alignment horizontal="justify"/>
    </xf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0" borderId="9" xfId="0" applyFont="1" applyBorder="1" applyAlignment="1">
      <alignment horizontal="center" vertical="justify"/>
    </xf>
    <xf numFmtId="0" fontId="3" fillId="0" borderId="0" xfId="0" applyFont="1" applyAlignment="1">
      <alignment horizontal="center" vertical="justify"/>
    </xf>
    <xf numFmtId="0" fontId="3" fillId="0" borderId="10" xfId="0" applyFont="1" applyBorder="1" applyAlignment="1">
      <alignment horizontal="center" vertical="justify"/>
    </xf>
    <xf numFmtId="0" fontId="3" fillId="0" borderId="14" xfId="0" applyFont="1" applyBorder="1" applyAlignment="1">
      <alignment horizontal="center" vertical="justify"/>
    </xf>
    <xf numFmtId="0" fontId="3" fillId="0" borderId="11" xfId="0" applyFont="1" applyBorder="1" applyAlignment="1">
      <alignment horizontal="center" vertical="justify"/>
    </xf>
    <xf numFmtId="0" fontId="3" fillId="0" borderId="12" xfId="0" applyFont="1" applyBorder="1" applyAlignment="1">
      <alignment horizontal="center" vertical="justify"/>
    </xf>
    <xf numFmtId="0" fontId="23" fillId="6" borderId="4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/>
    </xf>
    <xf numFmtId="0" fontId="23" fillId="6" borderId="13" xfId="0" applyFont="1" applyFill="1" applyBorder="1" applyAlignment="1">
      <alignment horizontal="center"/>
    </xf>
    <xf numFmtId="0" fontId="23" fillId="6" borderId="15" xfId="0" applyFont="1" applyFill="1" applyBorder="1" applyAlignment="1">
      <alignment horizontal="center"/>
    </xf>
    <xf numFmtId="0" fontId="23" fillId="6" borderId="4" xfId="0" applyFont="1" applyFill="1" applyBorder="1" applyAlignment="1">
      <alignment horizontal="center" vertical="justify" wrapText="1"/>
    </xf>
    <xf numFmtId="0" fontId="23" fillId="6" borderId="5" xfId="0" applyFont="1" applyFill="1" applyBorder="1" applyAlignment="1">
      <alignment horizontal="center" vertical="justify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justify" wrapText="1"/>
    </xf>
    <xf numFmtId="0" fontId="4" fillId="0" borderId="5" xfId="0" applyFont="1" applyBorder="1" applyAlignment="1">
      <alignment horizontal="center" vertical="justify" wrapText="1"/>
    </xf>
    <xf numFmtId="169" fontId="4" fillId="0" borderId="2" xfId="0" applyNumberFormat="1" applyFont="1" applyBorder="1" applyAlignment="1">
      <alignment horizontal="center"/>
    </xf>
    <xf numFmtId="169" fontId="4" fillId="0" borderId="13" xfId="0" applyNumberFormat="1" applyFont="1" applyBorder="1" applyAlignment="1">
      <alignment horizontal="center"/>
    </xf>
    <xf numFmtId="0" fontId="15" fillId="0" borderId="4" xfId="0" applyFont="1" applyBorder="1" applyAlignment="1">
      <alignment horizontal="center" vertical="justify" wrapText="1"/>
    </xf>
    <xf numFmtId="0" fontId="15" fillId="0" borderId="5" xfId="0" applyFont="1" applyBorder="1" applyAlignment="1">
      <alignment horizontal="center" vertical="justify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39" fontId="5" fillId="0" borderId="33" xfId="8" applyNumberFormat="1" applyFont="1" applyBorder="1" applyAlignment="1">
      <alignment horizontal="center" wrapText="1"/>
    </xf>
    <xf numFmtId="0" fontId="5" fillId="0" borderId="33" xfId="8" applyFont="1" applyBorder="1" applyAlignment="1">
      <alignment horizontal="center"/>
    </xf>
    <xf numFmtId="0" fontId="13" fillId="0" borderId="33" xfId="8" applyFont="1" applyBorder="1" applyAlignment="1">
      <alignment horizontal="center" vertical="center" wrapText="1"/>
    </xf>
    <xf numFmtId="39" fontId="13" fillId="0" borderId="33" xfId="8" applyNumberFormat="1" applyFont="1" applyBorder="1" applyAlignment="1">
      <alignment horizontal="center" vertical="center" wrapText="1"/>
    </xf>
    <xf numFmtId="0" fontId="3" fillId="0" borderId="0" xfId="8" applyFont="1" applyAlignment="1">
      <alignment horizontal="left" vertical="center"/>
    </xf>
    <xf numFmtId="0" fontId="3" fillId="0" borderId="9" xfId="8" applyFont="1" applyBorder="1" applyAlignment="1">
      <alignment horizontal="justify" vertical="justify"/>
    </xf>
    <xf numFmtId="0" fontId="3" fillId="0" borderId="0" xfId="8" applyFont="1" applyAlignment="1">
      <alignment horizontal="justify" vertical="justify"/>
    </xf>
    <xf numFmtId="0" fontId="5" fillId="0" borderId="33" xfId="8" applyFont="1" applyBorder="1" applyAlignment="1">
      <alignment horizontal="center" vertical="center" wrapText="1"/>
    </xf>
    <xf numFmtId="0" fontId="5" fillId="0" borderId="33" xfId="8" applyFont="1" applyBorder="1" applyAlignment="1">
      <alignment horizont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justify"/>
    </xf>
    <xf numFmtId="0" fontId="3" fillId="0" borderId="10" xfId="0" applyFont="1" applyBorder="1" applyAlignment="1">
      <alignment vertical="justify"/>
    </xf>
    <xf numFmtId="0" fontId="3" fillId="0" borderId="0" xfId="0" applyFont="1" applyBorder="1" applyAlignment="1">
      <alignment horizontal="center" vertical="justify"/>
    </xf>
    <xf numFmtId="0" fontId="3" fillId="0" borderId="0" xfId="0" applyFont="1" applyBorder="1" applyAlignment="1">
      <alignment vertical="justify"/>
    </xf>
    <xf numFmtId="0" fontId="24" fillId="5" borderId="0" xfId="0" applyFont="1" applyFill="1" applyBorder="1" applyAlignment="1">
      <alignment horizontal="center" vertical="justify"/>
    </xf>
    <xf numFmtId="0" fontId="3" fillId="0" borderId="7" xfId="0" applyFont="1" applyFill="1" applyBorder="1" applyAlignment="1"/>
    <xf numFmtId="0" fontId="3" fillId="0" borderId="8" xfId="0" applyFont="1" applyFill="1" applyBorder="1" applyAlignment="1"/>
    <xf numFmtId="0" fontId="26" fillId="0" borderId="0" xfId="0" applyFont="1"/>
    <xf numFmtId="0" fontId="27" fillId="0" borderId="0" xfId="0" applyFont="1"/>
    <xf numFmtId="0" fontId="26" fillId="0" borderId="0" xfId="0" applyFont="1" applyAlignment="1">
      <alignment horizontal="center"/>
    </xf>
    <xf numFmtId="0" fontId="29" fillId="0" borderId="0" xfId="0" applyFont="1" applyAlignment="1">
      <alignment vertical="center"/>
    </xf>
    <xf numFmtId="0" fontId="29" fillId="0" borderId="0" xfId="0" applyFont="1"/>
    <xf numFmtId="0" fontId="30" fillId="0" borderId="6" xfId="0" applyFont="1" applyBorder="1" applyAlignment="1">
      <alignment vertical="center"/>
    </xf>
    <xf numFmtId="0" fontId="29" fillId="0" borderId="8" xfId="0" applyFont="1" applyBorder="1" applyAlignment="1">
      <alignment vertical="center"/>
    </xf>
    <xf numFmtId="0" fontId="29" fillId="0" borderId="9" xfId="0" applyFont="1" applyBorder="1" applyAlignment="1">
      <alignment vertical="center"/>
    </xf>
    <xf numFmtId="0" fontId="29" fillId="0" borderId="14" xfId="0" applyFont="1" applyBorder="1" applyAlignment="1">
      <alignment vertical="center"/>
    </xf>
    <xf numFmtId="0" fontId="28" fillId="6" borderId="33" xfId="0" applyFont="1" applyFill="1" applyBorder="1" applyAlignment="1">
      <alignment vertical="center"/>
    </xf>
    <xf numFmtId="0" fontId="29" fillId="0" borderId="33" xfId="0" applyFont="1" applyBorder="1" applyAlignment="1">
      <alignment vertical="center"/>
    </xf>
    <xf numFmtId="166" fontId="29" fillId="0" borderId="33" xfId="4" applyFont="1" applyFill="1" applyBorder="1" applyAlignment="1">
      <alignment vertical="center"/>
    </xf>
    <xf numFmtId="0" fontId="29" fillId="0" borderId="42" xfId="0" applyFont="1" applyBorder="1" applyAlignment="1">
      <alignment vertical="center"/>
    </xf>
    <xf numFmtId="166" fontId="29" fillId="5" borderId="42" xfId="4" applyFont="1" applyFill="1" applyBorder="1" applyAlignment="1">
      <alignment vertical="center"/>
    </xf>
    <xf numFmtId="0" fontId="29" fillId="0" borderId="43" xfId="0" applyFont="1" applyBorder="1" applyAlignment="1">
      <alignment vertical="center"/>
    </xf>
    <xf numFmtId="166" fontId="29" fillId="5" borderId="43" xfId="4" applyFont="1" applyFill="1" applyBorder="1" applyAlignment="1">
      <alignment vertical="center"/>
    </xf>
    <xf numFmtId="0" fontId="29" fillId="0" borderId="44" xfId="0" applyFont="1" applyBorder="1" applyAlignment="1">
      <alignment vertical="center"/>
    </xf>
    <xf numFmtId="166" fontId="29" fillId="5" borderId="44" xfId="4" applyFont="1" applyFill="1" applyBorder="1" applyAlignment="1">
      <alignment vertical="center"/>
    </xf>
    <xf numFmtId="0" fontId="29" fillId="0" borderId="39" xfId="0" applyFont="1" applyBorder="1" applyAlignment="1">
      <alignment vertical="center"/>
    </xf>
    <xf numFmtId="0" fontId="29" fillId="0" borderId="45" xfId="0" applyFont="1" applyBorder="1" applyAlignment="1">
      <alignment vertical="center"/>
    </xf>
    <xf numFmtId="10" fontId="29" fillId="0" borderId="46" xfId="6" applyNumberFormat="1" applyFont="1" applyFill="1" applyBorder="1" applyAlignment="1">
      <alignment vertical="center"/>
    </xf>
    <xf numFmtId="44" fontId="29" fillId="0" borderId="47" xfId="0" applyNumberFormat="1" applyFont="1" applyBorder="1" applyAlignment="1">
      <alignment vertical="center"/>
    </xf>
    <xf numFmtId="44" fontId="29" fillId="0" borderId="48" xfId="0" applyNumberFormat="1" applyFont="1" applyBorder="1" applyAlignment="1">
      <alignment vertical="center"/>
    </xf>
    <xf numFmtId="0" fontId="31" fillId="0" borderId="0" xfId="0" applyFont="1"/>
    <xf numFmtId="0" fontId="32" fillId="0" borderId="0" xfId="10" applyFont="1"/>
  </cellXfs>
  <cellStyles count="11">
    <cellStyle name="Euro" xfId="1" xr:uid="{989923AF-A3F3-41D2-BD3B-0F2A7619D1CB}"/>
    <cellStyle name="Hipervínculo" xfId="10" builtinId="8"/>
    <cellStyle name="Millares" xfId="2" builtinId="3"/>
    <cellStyle name="Millares 2" xfId="3" xr:uid="{4FE75C5A-45AA-4D24-B347-2803EDBAE00C}"/>
    <cellStyle name="Moneda" xfId="4" builtinId="4"/>
    <cellStyle name="Moneda 2" xfId="5" xr:uid="{25B3F066-B212-4853-BF76-C65270095E31}"/>
    <cellStyle name="Normal" xfId="0" builtinId="0"/>
    <cellStyle name="Normal 2" xfId="8" xr:uid="{8E45066A-6273-402A-86C9-240FE84C3014}"/>
    <cellStyle name="Normal 4" xfId="9" xr:uid="{E148DA50-EC6F-47C7-9D80-E7948A1008C6}"/>
    <cellStyle name="Porcentaje" xfId="6" builtinId="5"/>
    <cellStyle name="Porcentual 2" xfId="7" xr:uid="{76AA75C4-D8A1-472B-8529-36D1FDC5932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3_4#2">
  <dgm:title val=""/>
  <dgm:desc val=""/>
  <dgm:catLst>
    <dgm:cat type="accent3" pri="11400"/>
  </dgm:catLst>
  <dgm:styleLbl name="node0">
    <dgm:fillClrLst meth="cycle">
      <a:schemeClr val="accent3">
        <a:shade val="60000"/>
      </a:schemeClr>
    </dgm:fillClrLst>
    <dgm:linClrLst meth="repeat">
      <a:schemeClr val="lt1"/>
    </dgm:linClrLst>
    <dgm:effectClrLst/>
    <dgm:txLinClrLst/>
    <dgm:txFillClrLst/>
    <dgm:txEffectClrLst/>
  </dgm:styleLbl>
  <dgm:styleLbl name="node1">
    <dgm:fillClrLst meth="cycle">
      <a:schemeClr val="accent3">
        <a:shade val="50000"/>
      </a:schemeClr>
      <a:schemeClr val="accent3">
        <a:tint val="55000"/>
      </a:schemeClr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cycle">
      <a:schemeClr val="accent3">
        <a:shade val="50000"/>
      </a:schemeClr>
      <a:schemeClr val="accent3">
        <a:tint val="55000"/>
      </a:schemeClr>
    </dgm:fillClrLst>
    <dgm:linClrLst meth="cycle">
      <a:schemeClr val="accent3">
        <a:shade val="50000"/>
      </a:schemeClr>
      <a:schemeClr val="accent3">
        <a:tint val="55000"/>
      </a:schemeClr>
    </dgm:linClrLst>
    <dgm:effectClrLst/>
    <dgm:txLinClrLst/>
    <dgm:txFillClrLst/>
    <dgm:txEffectClrLst/>
  </dgm:styleLbl>
  <dgm:styleLbl name="lnNode1">
    <dgm:fillClrLst meth="cycle">
      <a:schemeClr val="accent3">
        <a:shade val="50000"/>
      </a:schemeClr>
      <a:schemeClr val="accent3">
        <a:tint val="55000"/>
      </a:schemeClr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cycle">
      <a:schemeClr val="accent3">
        <a:shade val="80000"/>
        <a:alpha val="50000"/>
      </a:schemeClr>
      <a:schemeClr val="accent3">
        <a:tint val="50000"/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3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3">
        <a:tint val="99000"/>
      </a:schemeClr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3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3">
        <a:tint val="50000"/>
      </a:schemeClr>
      <a:schemeClr val="accent3">
        <a:tint val="55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3">
        <a:tint val="50000"/>
      </a:schemeClr>
      <a:schemeClr val="accent3">
        <a:tint val="55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3">
        <a:tint val="50000"/>
      </a:schemeClr>
      <a:schemeClr val="accent3">
        <a:tint val="55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cycle">
      <a:schemeClr val="accent3">
        <a:shade val="90000"/>
      </a:schemeClr>
      <a:schemeClr val="accent3">
        <a:tint val="50000"/>
      </a:schemeClr>
    </dgm:fillClrLst>
    <dgm:linClrLst meth="cycle">
      <a:schemeClr val="accent3">
        <a:shade val="90000"/>
      </a:schemeClr>
      <a:schemeClr val="accent3">
        <a:tint val="50000"/>
      </a:schemeClr>
    </dgm:linClrLst>
    <dgm:effectClrLst/>
    <dgm:txLinClrLst/>
    <dgm:txFillClrLst/>
    <dgm:txEffectClrLst/>
  </dgm:styleLbl>
  <dgm:styleLbl name="fgSibTrans2D1">
    <dgm:fillClrLst meth="cycle">
      <a:schemeClr val="accent3">
        <a:shade val="90000"/>
      </a:schemeClr>
      <a:schemeClr val="accent3">
        <a:tint val="50000"/>
      </a:schemeClr>
    </dgm:fillClrLst>
    <dgm:linClrLst meth="cycle">
      <a:schemeClr val="accent3">
        <a:shade val="90000"/>
      </a:schemeClr>
      <a:schemeClr val="accent3">
        <a:tint val="50000"/>
      </a:schemeClr>
    </dgm:linClrLst>
    <dgm:effectClrLst/>
    <dgm:txLinClrLst/>
    <dgm:txFillClrLst/>
    <dgm:txEffectClrLst/>
  </dgm:styleLbl>
  <dgm:styleLbl name="bgSibTrans2D1">
    <dgm:fillClrLst meth="cycle">
      <a:schemeClr val="accent3">
        <a:shade val="90000"/>
      </a:schemeClr>
      <a:schemeClr val="accent3">
        <a:tint val="50000"/>
      </a:schemeClr>
    </dgm:fillClrLst>
    <dgm:linClrLst meth="cycle">
      <a:schemeClr val="accent3">
        <a:shade val="90000"/>
      </a:schemeClr>
      <a:schemeClr val="accent3">
        <a:tint val="50000"/>
      </a:schemeClr>
    </dgm:linClrLst>
    <dgm:effectClrLst/>
    <dgm:txLinClrLst/>
    <dgm:txFillClrLst/>
    <dgm:txEffectClrLst/>
  </dgm:styleLbl>
  <dgm:styleLbl name="sibTrans1D1">
    <dgm:fillClrLst meth="cycle">
      <a:schemeClr val="accent3">
        <a:shade val="90000"/>
      </a:schemeClr>
      <a:schemeClr val="accent3">
        <a:tint val="50000"/>
      </a:schemeClr>
    </dgm:fillClrLst>
    <dgm:linClrLst meth="cycle">
      <a:schemeClr val="accent3">
        <a:shade val="90000"/>
      </a:schemeClr>
      <a:schemeClr val="accent3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3"/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3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3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3">
        <a:tint val="90000"/>
      </a:schemeClr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3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3">
        <a:tint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3">
        <a:tint val="60000"/>
      </a:schemeClr>
    </dgm:fillClrLst>
    <dgm:linClrLst meth="repeat">
      <a:schemeClr val="accent3">
        <a:shade val="80000"/>
      </a:schemeClr>
    </dgm:linClrLst>
    <dgm:effectClrLst/>
    <dgm:txLinClrLst/>
    <dgm:txFillClrLst/>
    <dgm:txEffectClrLst/>
  </dgm:styleLbl>
  <dgm:styleLbl name="parChTrans2D2">
    <dgm:fillClrLst meth="repeat">
      <a:schemeClr val="accent3">
        <a:tint val="90000"/>
      </a:schemeClr>
    </dgm:fillClrLst>
    <dgm:linClrLst meth="repeat">
      <a:schemeClr val="accent3">
        <a:tint val="90000"/>
      </a:schemeClr>
    </dgm:linClrLst>
    <dgm:effectClrLst/>
    <dgm:txLinClrLst/>
    <dgm:txFillClrLst/>
    <dgm:txEffectClrLst/>
  </dgm:styleLbl>
  <dgm:styleLbl name="parChTrans2D3">
    <dgm:fillClrLst meth="repeat">
      <a:schemeClr val="accent3">
        <a:tint val="70000"/>
      </a:schemeClr>
    </dgm:fillClrLst>
    <dgm:linClrLst meth="repeat">
      <a:schemeClr val="accent3">
        <a:tint val="70000"/>
      </a:schemeClr>
    </dgm:linClrLst>
    <dgm:effectClrLst/>
    <dgm:txLinClrLst/>
    <dgm:txFillClrLst/>
    <dgm:txEffectClrLst/>
  </dgm:styleLbl>
  <dgm:styleLbl name="parChTrans2D4">
    <dgm:fillClrLst meth="repeat">
      <a:schemeClr val="accent3">
        <a:tint val="50000"/>
      </a:schemeClr>
    </dgm:fillClrLst>
    <dgm:linClrLst meth="repeat">
      <a:schemeClr val="accent3">
        <a:tint val="50000"/>
      </a:schemeClr>
    </dgm:linClrLst>
    <dgm:effectClrLst/>
    <dgm:txLinClrLst/>
    <dgm:txFillClrLst meth="repeat">
      <a:schemeClr val="dk1"/>
    </dgm:txFillClrLst>
    <dgm:txEffectClrLst/>
  </dgm:styleLbl>
  <dgm:styleLbl name="parChTrans1D1">
    <dgm:fillClrLst meth="repeat">
      <a:schemeClr val="accent3">
        <a:shade val="80000"/>
      </a:schemeClr>
    </dgm:fillClrLst>
    <dgm:linClrLst meth="repeat">
      <a:schemeClr val="accent3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3">
        <a:tint val="90000"/>
      </a:schemeClr>
    </dgm:fillClrLst>
    <dgm:linClrLst meth="repeat">
      <a:schemeClr val="accent3">
        <a:tint val="9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3">
        <a:tint val="70000"/>
      </a:schemeClr>
    </dgm:fillClrLst>
    <dgm:linClrLst meth="repeat">
      <a:schemeClr val="accent3">
        <a:tint val="7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3">
        <a:tint val="50000"/>
      </a:schemeClr>
    </dgm:fillClrLst>
    <dgm:linClrLst meth="repeat">
      <a:schemeClr val="accent3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cycle">
      <a:schemeClr val="accent3">
        <a:shade val="50000"/>
      </a:schemeClr>
      <a:schemeClr val="accent3">
        <a:tint val="55000"/>
      </a:schemeClr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cycle">
      <a:schemeClr val="accent3">
        <a:shade val="50000"/>
      </a:schemeClr>
      <a:schemeClr val="accent3">
        <a:tint val="55000"/>
      </a:schemeClr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cycle">
      <a:schemeClr val="accent3">
        <a:shade val="50000"/>
      </a:schemeClr>
      <a:schemeClr val="accent3">
        <a:tint val="55000"/>
      </a:schemeClr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55000"/>
      </a:schemeClr>
    </dgm:fillClrLst>
    <dgm:linClrLst meth="repeat">
      <a:schemeClr val="accent3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cycle">
      <a:schemeClr val="accent3">
        <a:shade val="50000"/>
      </a:schemeClr>
      <a:schemeClr val="accent3">
        <a:tint val="55000"/>
      </a:schemeClr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cycle">
      <a:schemeClr val="accent3">
        <a:shade val="50000"/>
      </a:schemeClr>
      <a:schemeClr val="accent3">
        <a:tint val="55000"/>
      </a:schemeClr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3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3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3">
        <a:alpha val="90000"/>
        <a:tint val="55000"/>
      </a:schemeClr>
    </dgm:fillClrLst>
    <dgm:linClrLst meth="repeat">
      <a:schemeClr val="accent3">
        <a:alpha val="90000"/>
        <a:tint val="55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3">
        <a:alpha val="90000"/>
        <a:tint val="55000"/>
      </a:schemeClr>
    </dgm:fillClrLst>
    <dgm:linClrLst meth="repeat">
      <a:schemeClr val="accent3">
        <a:alpha val="90000"/>
        <a:tint val="55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3">
        <a:alpha val="90000"/>
        <a:tint val="55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3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3">
        <a:tint val="90000"/>
      </a:schemeClr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3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3">
        <a:tint val="50000"/>
      </a:schemeClr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3">
        <a:tint val="55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3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3">
        <a:tint val="50000"/>
        <a:alpha val="55000"/>
      </a:schemeClr>
    </dgm:fillClrLst>
    <dgm:linClrLst meth="repeat">
      <a:schemeClr val="accent3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3">
        <a:tint val="55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6D1355A2-8DE8-4F5A-AC28-6E0BA148763E}" type="doc">
      <dgm:prSet loTypeId="urn:microsoft.com/office/officeart/2005/8/layout/list1" loCatId="list" qsTypeId="urn:microsoft.com/office/officeart/2005/8/quickstyle/simple1#2" qsCatId="simple" csTypeId="urn:microsoft.com/office/officeart/2005/8/colors/accent3_4#2" csCatId="accent3" phldr="1"/>
      <dgm:spPr/>
      <dgm:t>
        <a:bodyPr/>
        <a:lstStyle/>
        <a:p>
          <a:endParaRPr lang="es-SV"/>
        </a:p>
      </dgm:t>
    </dgm:pt>
    <dgm:pt modelId="{F8BB6858-8AFB-4A39-83F4-5869C6E2DF07}">
      <dgm:prSet phldrT="[Texto]" custT="1"/>
      <dgm:spPr>
        <a:solidFill>
          <a:srgbClr val="2C8441"/>
        </a:solidFill>
      </dgm:spPr>
      <dgm:t>
        <a:bodyPr/>
        <a:lstStyle/>
        <a:p>
          <a:r>
            <a:rPr lang="es-SV" sz="1600" b="1"/>
            <a:t>Herramientas en Excel para la Proporcionalidad IVA e ISR</a:t>
          </a:r>
          <a:endParaRPr lang="es-SV" sz="1600"/>
        </a:p>
      </dgm:t>
    </dgm:pt>
    <dgm:pt modelId="{1304F57E-769B-4A91-9404-3D001AA44D7C}" type="parTrans" cxnId="{E3993453-EDF1-4F9B-B3D8-A8FF1E93CAF6}">
      <dgm:prSet/>
      <dgm:spPr/>
      <dgm:t>
        <a:bodyPr/>
        <a:lstStyle/>
        <a:p>
          <a:endParaRPr lang="es-SV"/>
        </a:p>
      </dgm:t>
    </dgm:pt>
    <dgm:pt modelId="{CBC11E39-8508-45D0-BE80-21BE0C9DE50B}" type="sibTrans" cxnId="{E3993453-EDF1-4F9B-B3D8-A8FF1E93CAF6}">
      <dgm:prSet/>
      <dgm:spPr/>
      <dgm:t>
        <a:bodyPr/>
        <a:lstStyle/>
        <a:p>
          <a:endParaRPr lang="es-SV"/>
        </a:p>
      </dgm:t>
    </dgm:pt>
    <dgm:pt modelId="{B716040D-3227-483F-A8E4-8F34D3AFE867}">
      <dgm:prSet phldrT="[Texto]"/>
      <dgm:spPr/>
      <dgm:t>
        <a:bodyPr/>
        <a:lstStyle/>
        <a:p>
          <a:r>
            <a:rPr lang="es-SV"/>
            <a:t>Proporcionalidad IVA - Art. 66 LIVA, Art. 25 Reglamento IVA y Art. 67 lit. k) RACT</a:t>
          </a:r>
        </a:p>
      </dgm:t>
    </dgm:pt>
    <dgm:pt modelId="{7433FE1C-7D6D-4332-9D76-08040615369F}" type="parTrans" cxnId="{D47251F3-9E0B-4A78-BF91-42B8BFECE3C0}">
      <dgm:prSet/>
      <dgm:spPr/>
      <dgm:t>
        <a:bodyPr/>
        <a:lstStyle/>
        <a:p>
          <a:endParaRPr lang="es-SV"/>
        </a:p>
      </dgm:t>
    </dgm:pt>
    <dgm:pt modelId="{074C24F4-A8B7-44A3-B9CD-5ED3F1C5A9E9}" type="sibTrans" cxnId="{D47251F3-9E0B-4A78-BF91-42B8BFECE3C0}">
      <dgm:prSet/>
      <dgm:spPr/>
      <dgm:t>
        <a:bodyPr/>
        <a:lstStyle/>
        <a:p>
          <a:endParaRPr lang="es-SV"/>
        </a:p>
      </dgm:t>
    </dgm:pt>
    <dgm:pt modelId="{F3515006-82B2-4F51-BBDB-F6C12B2B9A4A}">
      <dgm:prSet phldrT="[Texto]"/>
      <dgm:spPr/>
      <dgm:t>
        <a:bodyPr/>
        <a:lstStyle/>
        <a:p>
          <a:r>
            <a:rPr lang="es-SV"/>
            <a:t>Proporcionalidad ISR - Art. 28 LISR</a:t>
          </a:r>
        </a:p>
      </dgm:t>
    </dgm:pt>
    <dgm:pt modelId="{F3A9B1A9-D2B7-4DC8-B0C1-A87D35024F31}" type="parTrans" cxnId="{78CE91AD-252A-4E72-996A-7BE0E04DA6C0}">
      <dgm:prSet/>
      <dgm:spPr/>
      <dgm:t>
        <a:bodyPr/>
        <a:lstStyle/>
        <a:p>
          <a:endParaRPr lang="es-419"/>
        </a:p>
      </dgm:t>
    </dgm:pt>
    <dgm:pt modelId="{690E1CA1-089C-47E1-A334-C85C2D81C8F7}" type="sibTrans" cxnId="{78CE91AD-252A-4E72-996A-7BE0E04DA6C0}">
      <dgm:prSet/>
      <dgm:spPr/>
      <dgm:t>
        <a:bodyPr/>
        <a:lstStyle/>
        <a:p>
          <a:endParaRPr lang="es-419"/>
        </a:p>
      </dgm:t>
    </dgm:pt>
    <dgm:pt modelId="{87ED2776-7AE8-4BB6-9B61-67404EE728E3}" type="pres">
      <dgm:prSet presAssocID="{6D1355A2-8DE8-4F5A-AC28-6E0BA148763E}" presName="linear" presStyleCnt="0">
        <dgm:presLayoutVars>
          <dgm:dir/>
          <dgm:animLvl val="lvl"/>
          <dgm:resizeHandles val="exact"/>
        </dgm:presLayoutVars>
      </dgm:prSet>
      <dgm:spPr/>
    </dgm:pt>
    <dgm:pt modelId="{93F0A71E-B93B-4EE3-9F0D-3AC1EDEF8ABF}" type="pres">
      <dgm:prSet presAssocID="{F8BB6858-8AFB-4A39-83F4-5869C6E2DF07}" presName="parentLin" presStyleCnt="0"/>
      <dgm:spPr/>
    </dgm:pt>
    <dgm:pt modelId="{D8245196-C5F1-4CAE-9906-C1BB013A5A30}" type="pres">
      <dgm:prSet presAssocID="{F8BB6858-8AFB-4A39-83F4-5869C6E2DF07}" presName="parentLeftMargin" presStyleLbl="node1" presStyleIdx="0" presStyleCnt="1"/>
      <dgm:spPr/>
    </dgm:pt>
    <dgm:pt modelId="{30F876E4-12C4-4610-9F86-593680708BA3}" type="pres">
      <dgm:prSet presAssocID="{F8BB6858-8AFB-4A39-83F4-5869C6E2DF07}" presName="parentText" presStyleLbl="node1" presStyleIdx="0" presStyleCnt="1" custScaleY="122218">
        <dgm:presLayoutVars>
          <dgm:chMax val="0"/>
          <dgm:bulletEnabled val="1"/>
        </dgm:presLayoutVars>
      </dgm:prSet>
      <dgm:spPr/>
    </dgm:pt>
    <dgm:pt modelId="{F85B4B24-676B-45DA-8548-8C679992168C}" type="pres">
      <dgm:prSet presAssocID="{F8BB6858-8AFB-4A39-83F4-5869C6E2DF07}" presName="negativeSpace" presStyleCnt="0"/>
      <dgm:spPr/>
    </dgm:pt>
    <dgm:pt modelId="{36E3126A-D1D2-416A-9BB3-D496634088E5}" type="pres">
      <dgm:prSet presAssocID="{F8BB6858-8AFB-4A39-83F4-5869C6E2DF07}" presName="childText" presStyleLbl="conFgAcc1" presStyleIdx="0" presStyleCnt="1">
        <dgm:presLayoutVars>
          <dgm:bulletEnabled val="1"/>
        </dgm:presLayoutVars>
      </dgm:prSet>
      <dgm:spPr/>
    </dgm:pt>
  </dgm:ptLst>
  <dgm:cxnLst>
    <dgm:cxn modelId="{78366021-40D3-4098-A06C-AAB950BAA36C}" type="presOf" srcId="{F8BB6858-8AFB-4A39-83F4-5869C6E2DF07}" destId="{30F876E4-12C4-4610-9F86-593680708BA3}" srcOrd="1" destOrd="0" presId="urn:microsoft.com/office/officeart/2005/8/layout/list1"/>
    <dgm:cxn modelId="{E3993453-EDF1-4F9B-B3D8-A8FF1E93CAF6}" srcId="{6D1355A2-8DE8-4F5A-AC28-6E0BA148763E}" destId="{F8BB6858-8AFB-4A39-83F4-5869C6E2DF07}" srcOrd="0" destOrd="0" parTransId="{1304F57E-769B-4A91-9404-3D001AA44D7C}" sibTransId="{CBC11E39-8508-45D0-BE80-21BE0C9DE50B}"/>
    <dgm:cxn modelId="{853BA855-BD3E-450C-A0A0-13DD984214E1}" type="presOf" srcId="{F3515006-82B2-4F51-BBDB-F6C12B2B9A4A}" destId="{36E3126A-D1D2-416A-9BB3-D496634088E5}" srcOrd="0" destOrd="1" presId="urn:microsoft.com/office/officeart/2005/8/layout/list1"/>
    <dgm:cxn modelId="{78CE91AD-252A-4E72-996A-7BE0E04DA6C0}" srcId="{F8BB6858-8AFB-4A39-83F4-5869C6E2DF07}" destId="{F3515006-82B2-4F51-BBDB-F6C12B2B9A4A}" srcOrd="1" destOrd="0" parTransId="{F3A9B1A9-D2B7-4DC8-B0C1-A87D35024F31}" sibTransId="{690E1CA1-089C-47E1-A334-C85C2D81C8F7}"/>
    <dgm:cxn modelId="{42701FBC-2D04-4EA4-883D-EE6A633C5A93}" type="presOf" srcId="{B716040D-3227-483F-A8E4-8F34D3AFE867}" destId="{36E3126A-D1D2-416A-9BB3-D496634088E5}" srcOrd="0" destOrd="0" presId="urn:microsoft.com/office/officeart/2005/8/layout/list1"/>
    <dgm:cxn modelId="{F531B0CA-6CBA-4780-889E-0A59C296D849}" type="presOf" srcId="{F8BB6858-8AFB-4A39-83F4-5869C6E2DF07}" destId="{D8245196-C5F1-4CAE-9906-C1BB013A5A30}" srcOrd="0" destOrd="0" presId="urn:microsoft.com/office/officeart/2005/8/layout/list1"/>
    <dgm:cxn modelId="{13E231E5-3AEB-4882-927A-CB9159D5636F}" type="presOf" srcId="{6D1355A2-8DE8-4F5A-AC28-6E0BA148763E}" destId="{87ED2776-7AE8-4BB6-9B61-67404EE728E3}" srcOrd="0" destOrd="0" presId="urn:microsoft.com/office/officeart/2005/8/layout/list1"/>
    <dgm:cxn modelId="{D47251F3-9E0B-4A78-BF91-42B8BFECE3C0}" srcId="{F8BB6858-8AFB-4A39-83F4-5869C6E2DF07}" destId="{B716040D-3227-483F-A8E4-8F34D3AFE867}" srcOrd="0" destOrd="0" parTransId="{7433FE1C-7D6D-4332-9D76-08040615369F}" sibTransId="{074C24F4-A8B7-44A3-B9CD-5ED3F1C5A9E9}"/>
    <dgm:cxn modelId="{63075D9F-181D-49E2-910E-273161FD855E}" type="presParOf" srcId="{87ED2776-7AE8-4BB6-9B61-67404EE728E3}" destId="{93F0A71E-B93B-4EE3-9F0D-3AC1EDEF8ABF}" srcOrd="0" destOrd="0" presId="urn:microsoft.com/office/officeart/2005/8/layout/list1"/>
    <dgm:cxn modelId="{CEEC9F6A-7E84-452A-940E-A2F4214F8471}" type="presParOf" srcId="{93F0A71E-B93B-4EE3-9F0D-3AC1EDEF8ABF}" destId="{D8245196-C5F1-4CAE-9906-C1BB013A5A30}" srcOrd="0" destOrd="0" presId="urn:microsoft.com/office/officeart/2005/8/layout/list1"/>
    <dgm:cxn modelId="{A506DE05-81D2-4AE8-AE2E-6140F430EF59}" type="presParOf" srcId="{93F0A71E-B93B-4EE3-9F0D-3AC1EDEF8ABF}" destId="{30F876E4-12C4-4610-9F86-593680708BA3}" srcOrd="1" destOrd="0" presId="urn:microsoft.com/office/officeart/2005/8/layout/list1"/>
    <dgm:cxn modelId="{9266652F-6F80-4C46-BF94-8FCA95A9FFEC}" type="presParOf" srcId="{87ED2776-7AE8-4BB6-9B61-67404EE728E3}" destId="{F85B4B24-676B-45DA-8548-8C679992168C}" srcOrd="1" destOrd="0" presId="urn:microsoft.com/office/officeart/2005/8/layout/list1"/>
    <dgm:cxn modelId="{662D986D-2F2D-43E8-8790-8155488ABB37}" type="presParOf" srcId="{87ED2776-7AE8-4BB6-9B61-67404EE728E3}" destId="{36E3126A-D1D2-416A-9BB3-D496634088E5}" srcOrd="2" destOrd="0" presId="urn:microsoft.com/office/officeart/2005/8/layout/list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36E3126A-D1D2-416A-9BB3-D496634088E5}">
      <dsp:nvSpPr>
        <dsp:cNvPr id="0" name=""/>
        <dsp:cNvSpPr/>
      </dsp:nvSpPr>
      <dsp:spPr>
        <a:xfrm>
          <a:off x="0" y="272990"/>
          <a:ext cx="7794253" cy="641024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3">
              <a:shade val="5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04921" tIns="229108" rIns="604921" bIns="78232" numCol="1" spcCol="1270" anchor="t" anchorCtr="0">
          <a:noAutofit/>
        </a:bodyPr>
        <a:lstStyle/>
        <a:p>
          <a:pPr marL="57150" lvl="1" indent="-57150" algn="l" defTabSz="4889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s-SV" sz="1100" kern="1200"/>
            <a:t>Proporcionalidad IVA - Art. 66 LIVA, Art. 25 Reglamento IVA y Art. 67 lit. k) RACT</a:t>
          </a:r>
        </a:p>
        <a:p>
          <a:pPr marL="57150" lvl="1" indent="-57150" algn="l" defTabSz="4889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s-SV" sz="1100" kern="1200"/>
            <a:t>Proporcionalidad ISR - Art. 28 LISR</a:t>
          </a:r>
        </a:p>
      </dsp:txBody>
      <dsp:txXfrm>
        <a:off x="0" y="272990"/>
        <a:ext cx="7794253" cy="641024"/>
      </dsp:txXfrm>
    </dsp:sp>
    <dsp:sp modelId="{30F876E4-12C4-4610-9F86-593680708BA3}">
      <dsp:nvSpPr>
        <dsp:cNvPr id="0" name=""/>
        <dsp:cNvSpPr/>
      </dsp:nvSpPr>
      <dsp:spPr>
        <a:xfrm>
          <a:off x="389332" y="38483"/>
          <a:ext cx="5450648" cy="396866"/>
        </a:xfrm>
        <a:prstGeom prst="roundRect">
          <a:avLst/>
        </a:prstGeom>
        <a:solidFill>
          <a:srgbClr val="2C8441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206223" tIns="0" rIns="206223" bIns="0" numCol="1" spcCol="1270" anchor="ctr" anchorCtr="0">
          <a:noAutofit/>
        </a:bodyPr>
        <a:lstStyle/>
        <a:p>
          <a:pPr marL="0" lvl="0" indent="0" algn="l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SV" sz="1600" b="1" kern="1200"/>
            <a:t>Herramientas en Excel para la Proporcionalidad IVA e ISR</a:t>
          </a:r>
          <a:endParaRPr lang="es-SV" sz="1600" kern="1200"/>
        </a:p>
      </dsp:txBody>
      <dsp:txXfrm>
        <a:off x="408705" y="57856"/>
        <a:ext cx="5411902" cy="358120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list1">
  <dgm:title val=""/>
  <dgm:desc val=""/>
  <dgm:catLst>
    <dgm:cat type="list" pri="4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4" srcId="0" destId="1" srcOrd="0" destOrd="0"/>
        <dgm:cxn modelId="5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dir/>
      <dgm:animLvl val="lvl"/>
      <dgm:resizeHandles val="exact"/>
    </dgm:varLst>
    <dgm:choose name="Name0">
      <dgm:if name="Name1" func="var" arg="dir" op="equ" val="norm">
        <dgm:alg type="lin">
          <dgm:param type="linDir" val="fromT"/>
          <dgm:param type="vertAlign" val="mid"/>
          <dgm:param type="horzAlign" val="l"/>
          <dgm:param type="nodeHorzAlign" val="l"/>
        </dgm:alg>
      </dgm:if>
      <dgm:else name="Name2">
        <dgm:alg type="lin">
          <dgm:param type="linDir" val="fromT"/>
          <dgm:param type="vertAlign" val="mid"/>
          <dgm:param type="horzAlign" val="r"/>
          <dgm:param type="nodeHorzAlign" val="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parentLin" refType="w"/>
      <dgm:constr type="h" for="ch" forName="parentLin" val="INF"/>
      <dgm:constr type="w" for="des" forName="parentLeftMargin" refType="w" fact="0.05"/>
      <dgm:constr type="w" for="des" forName="parentText" refType="w" fact="0.7"/>
      <dgm:constr type="h" for="des" forName="parentText" refType="primFontSz" refFor="des" refForName="parentText" fact="0.82"/>
      <dgm:constr type="h" for="ch" forName="negativeSpace" refType="primFontSz" refFor="des" refForName="parentText" fact="-0.41"/>
      <dgm:constr type="h" for="ch" forName="negativeSpace" refType="h" refFor="des" refForName="parentText" op="lte" fact="-0.82"/>
      <dgm:constr type="h" for="ch" forName="negativeSpace" refType="h" refFor="des" refForName="parentText" op="gte" fact="-0.82"/>
      <dgm:constr type="w" for="ch" forName="childText" refType="w"/>
      <dgm:constr type="h" for="ch" forName="childText" refType="primFontSz" refFor="des" refForName="parentText" fact="0.7"/>
      <dgm:constr type="primFontSz" for="des" forName="parentText" val="65"/>
      <dgm:constr type="primFontSz" for="ch" forName="childText" refType="primFontSz" refFor="des" refForName="parentText"/>
      <dgm:constr type="tMarg" for="ch" forName="childText" refType="primFontSz" refFor="des" refForName="parentText" fact="1.64"/>
      <dgm:constr type="tMarg" for="ch" forName="childText" refType="h" refFor="des" refForName="parentText" op="lte" fact="3.28"/>
      <dgm:constr type="tMarg" for="ch" forName="childText" refType="h" refFor="des" refForName="parentText" op="gte" fact="3.28"/>
      <dgm:constr type="lMarg" for="ch" forName="childText" refType="w" fact="0.22"/>
      <dgm:constr type="rMarg" for="ch" forName="childText" refType="lMarg" refFor="ch" refForName="childText"/>
      <dgm:constr type="lMarg" for="des" forName="parentText" refType="w" fact="0.075"/>
      <dgm:constr type="rMarg" for="des" forName="parentText" refType="lMarg" refFor="des" refForName="parentText"/>
      <dgm:constr type="h" for="ch" forName="spaceBetweenRectangles" refType="primFontSz" refFor="des" refForName="parentText" fact="0.15"/>
    </dgm:constrLst>
    <dgm:ruleLst>
      <dgm:rule type="primFontSz" for="des" forName="parentText" val="5" fact="NaN" max="NaN"/>
    </dgm:ruleLst>
    <dgm:forEach name="Name3" axis="ch" ptType="node">
      <dgm:layoutNode name="parentLin">
        <dgm:choose name="Name4">
          <dgm:if name="Name5" func="var" arg="dir" op="equ" val="norm">
            <dgm:alg type="lin">
              <dgm:param type="linDir" val="fromL"/>
              <dgm:param type="horzAlign" val="l"/>
              <dgm:param type="nodeHorzAlign" val="l"/>
            </dgm:alg>
          </dgm:if>
          <dgm:else name="Name6">
            <dgm:alg type="lin">
              <dgm:param type="linDir" val="fromR"/>
              <dgm:param type="horzAlign" val="r"/>
              <dgm:param type="nodeHorzAlign" val="r"/>
            </dgm:alg>
          </dgm:else>
        </dgm:choose>
        <dgm:shape xmlns:r="http://schemas.openxmlformats.org/officeDocument/2006/relationships" r:blip="">
          <dgm:adjLst/>
        </dgm:shape>
        <dgm:presOf/>
        <dgm:constrLst/>
        <dgm:ruleLst/>
        <dgm:layoutNode name="parentLeftMargin">
          <dgm:alg type="sp"/>
          <dgm:shape xmlns:r="http://schemas.openxmlformats.org/officeDocument/2006/relationships" type="rect" r:blip="" hideGeom="1">
            <dgm:adjLst/>
          </dgm:shape>
          <dgm:presOf axis="self"/>
          <dgm:constrLst>
            <dgm:constr type="h"/>
          </dgm:constrLst>
          <dgm:ruleLst/>
        </dgm:layoutNode>
        <dgm:layoutNode name="parentText" styleLbl="node1">
          <dgm:varLst>
            <dgm:chMax val="0"/>
            <dgm:bulletEnabled val="1"/>
          </dgm:varLst>
          <dgm:choose name="Name7">
            <dgm:if name="Name8" func="var" arg="dir" op="equ" val="norm">
              <dgm:alg type="tx">
                <dgm:param type="parTxLTRAlign" val="l"/>
                <dgm:param type="parTxRTLAlign" val="l"/>
              </dgm:alg>
            </dgm:if>
            <dgm:else name="Name9">
              <dgm:alg type="tx">
                <dgm:param type="parTxLTRAlign" val="r"/>
                <dgm:param type="parTxRTLAlign" val="r"/>
              </dgm:alg>
            </dgm:else>
          </dgm:choose>
          <dgm:shape xmlns:r="http://schemas.openxmlformats.org/officeDocument/2006/relationships" type="roundRect" r:blip="">
            <dgm:adjLst/>
          </dgm:shape>
          <dgm:presOf axis="self" ptType="node"/>
          <dgm:constrLst>
            <dgm:constr type="tMarg"/>
            <dgm:constr type="bMarg"/>
          </dgm:constrLst>
          <dgm:ruleLst/>
        </dgm:layoutNode>
      </dgm:layoutNode>
      <dgm:layoutNode name="negativeSpace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childText" styleLbl="conFgAcc1">
        <dgm:varLst>
          <dgm:bulletEnabled val="1"/>
        </dgm:varLst>
        <dgm:alg type="tx">
          <dgm:param type="stBulletLvl" val="1"/>
        </dgm:alg>
        <dgm:shape xmlns:r="http://schemas.openxmlformats.org/officeDocument/2006/relationships" type="rect" r:blip="" zOrderOff="-2">
          <dgm:adjLst/>
        </dgm:shape>
        <dgm:presOf axis="des" ptType="node"/>
        <dgm:constrLst>
          <dgm:constr type="secFontSz" refType="primFontSz"/>
        </dgm:constrLst>
        <dgm:ruleLst>
          <dgm:rule type="h" val="INF" fact="NaN" max="NaN"/>
        </dgm:ruleLst>
      </dgm:layoutNode>
      <dgm:forEach name="Name10" axis="followSib" ptType="sibTrans" cnt="1">
        <dgm:layoutNode name="spaceBetweenRectangle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#2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jpeg"/><Relationship Id="rId13" Type="http://schemas.openxmlformats.org/officeDocument/2006/relationships/image" Target="../media/image5.png"/><Relationship Id="rId3" Type="http://schemas.openxmlformats.org/officeDocument/2006/relationships/diagramQuickStyle" Target="../diagrams/quickStyle1.xml"/><Relationship Id="rId7" Type="http://schemas.openxmlformats.org/officeDocument/2006/relationships/hyperlink" Target="https://www.youtube.com/channel/UC3yxh4xPc8ST0B5wtgMsMqg/featured?sub_confirmation=1" TargetMode="External"/><Relationship Id="rId12" Type="http://schemas.openxmlformats.org/officeDocument/2006/relationships/image" Target="../media/image4.png"/><Relationship Id="rId2" Type="http://schemas.openxmlformats.org/officeDocument/2006/relationships/diagramLayout" Target="../diagrams/layout1.xml"/><Relationship Id="rId16" Type="http://schemas.openxmlformats.org/officeDocument/2006/relationships/hyperlink" Target="#ProporcISR!A1"/><Relationship Id="rId1" Type="http://schemas.openxmlformats.org/officeDocument/2006/relationships/diagramData" Target="../diagrams/data1.xml"/><Relationship Id="rId6" Type="http://schemas.openxmlformats.org/officeDocument/2006/relationships/hyperlink" Target="#ProporcIVA!A1"/><Relationship Id="rId11" Type="http://schemas.openxmlformats.org/officeDocument/2006/relationships/image" Target="../media/image3.png"/><Relationship Id="rId5" Type="http://schemas.microsoft.com/office/2007/relationships/diagramDrawing" Target="../diagrams/drawing1.xml"/><Relationship Id="rId15" Type="http://schemas.openxmlformats.org/officeDocument/2006/relationships/image" Target="../media/image7.jpeg"/><Relationship Id="rId10" Type="http://schemas.openxmlformats.org/officeDocument/2006/relationships/image" Target="../media/image2.png"/><Relationship Id="rId4" Type="http://schemas.openxmlformats.org/officeDocument/2006/relationships/diagramColors" Target="../diagrams/colors1.xml"/><Relationship Id="rId9" Type="http://schemas.openxmlformats.org/officeDocument/2006/relationships/hyperlink" Target="https://www.youtube.com/channel/UC3yxh4xPc8ST0B5wtgMsMqg?view_as=subscriber" TargetMode="External"/><Relationship Id="rId14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744628</xdr:colOff>
      <xdr:row>1</xdr:row>
      <xdr:rowOff>0</xdr:rowOff>
    </xdr:from>
    <xdr:to>
      <xdr:col>6</xdr:col>
      <xdr:colOff>67234</xdr:colOff>
      <xdr:row>6</xdr:row>
      <xdr:rowOff>56028</xdr:rowOff>
    </xdr:to>
    <xdr:graphicFrame macro="">
      <xdr:nvGraphicFramePr>
        <xdr:cNvPr id="43" name="Diagrama 42">
          <a:extLst>
            <a:ext uri="{FF2B5EF4-FFF2-40B4-BE49-F238E27FC236}">
              <a16:creationId xmlns:a16="http://schemas.microsoft.com/office/drawing/2014/main" id="{DA3BECD3-5CA5-44CB-AC9D-52F3D59DCA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7</xdr:col>
      <xdr:colOff>1427096</xdr:colOff>
      <xdr:row>3</xdr:row>
      <xdr:rowOff>40822</xdr:rowOff>
    </xdr:from>
    <xdr:to>
      <xdr:col>7</xdr:col>
      <xdr:colOff>2876550</xdr:colOff>
      <xdr:row>9</xdr:row>
      <xdr:rowOff>50347</xdr:rowOff>
    </xdr:to>
    <xdr:sp macro="" textlink="">
      <xdr:nvSpPr>
        <xdr:cNvPr id="57" name="32 Rectángul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0C028CA-43C5-459E-937F-7D2A17742F5C}"/>
            </a:ext>
          </a:extLst>
        </xdr:cNvPr>
        <xdr:cNvSpPr/>
      </xdr:nvSpPr>
      <xdr:spPr>
        <a:xfrm>
          <a:off x="10656821" y="402772"/>
          <a:ext cx="1449454" cy="1095375"/>
        </a:xfrm>
        <a:prstGeom prst="rect">
          <a:avLst/>
        </a:prstGeom>
        <a:solidFill>
          <a:srgbClr val="C0504D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SV" sz="1400"/>
            <a:t>Porporcionalidad IVA</a:t>
          </a:r>
        </a:p>
      </xdr:txBody>
    </xdr:sp>
    <xdr:clientData/>
  </xdr:twoCellAnchor>
  <xdr:twoCellAnchor editAs="oneCell">
    <xdr:from>
      <xdr:col>7</xdr:col>
      <xdr:colOff>143756</xdr:colOff>
      <xdr:row>27</xdr:row>
      <xdr:rowOff>0</xdr:rowOff>
    </xdr:from>
    <xdr:to>
      <xdr:col>7</xdr:col>
      <xdr:colOff>4014107</xdr:colOff>
      <xdr:row>34</xdr:row>
      <xdr:rowOff>85725</xdr:rowOff>
    </xdr:to>
    <xdr:pic>
      <xdr:nvPicPr>
        <xdr:cNvPr id="61" name="Imagen 21" descr="Suscribete Png Youtube - Boton Suscribete Youtube Png, Transparent Png -  2364x664(#330944) - PngFind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79C58EC-EA6C-4CF0-A1B4-7B0FBD33F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3006" y="4680857"/>
          <a:ext cx="3870351" cy="1419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3479270</xdr:colOff>
      <xdr:row>28</xdr:row>
      <xdr:rowOff>163286</xdr:rowOff>
    </xdr:from>
    <xdr:to>
      <xdr:col>7</xdr:col>
      <xdr:colOff>116540</xdr:colOff>
      <xdr:row>32</xdr:row>
      <xdr:rowOff>0</xdr:rowOff>
    </xdr:to>
    <xdr:sp macro="" textlink="">
      <xdr:nvSpPr>
        <xdr:cNvPr id="62" name="Flecha: a la derecha 22">
          <a:extLst>
            <a:ext uri="{FF2B5EF4-FFF2-40B4-BE49-F238E27FC236}">
              <a16:creationId xmlns:a16="http://schemas.microsoft.com/office/drawing/2014/main" id="{4F6D2A57-05C1-4403-8664-C7E37015EB25}"/>
            </a:ext>
          </a:extLst>
        </xdr:cNvPr>
        <xdr:cNvSpPr/>
      </xdr:nvSpPr>
      <xdr:spPr>
        <a:xfrm>
          <a:off x="3745970" y="5497286"/>
          <a:ext cx="4943070" cy="598714"/>
        </a:xfrm>
        <a:prstGeom prst="rightArrow">
          <a:avLst/>
        </a:prstGeom>
        <a:solidFill>
          <a:srgbClr val="92D050"/>
        </a:solidFill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0</xdr:col>
      <xdr:colOff>394608</xdr:colOff>
      <xdr:row>27</xdr:row>
      <xdr:rowOff>142648</xdr:rowOff>
    </xdr:from>
    <xdr:to>
      <xdr:col>2</xdr:col>
      <xdr:colOff>3</xdr:colOff>
      <xdr:row>33</xdr:row>
      <xdr:rowOff>54429</xdr:rowOff>
    </xdr:to>
    <xdr:grpSp>
      <xdr:nvGrpSpPr>
        <xdr:cNvPr id="63" name="50 Grupo">
          <a:extLst>
            <a:ext uri="{FF2B5EF4-FFF2-40B4-BE49-F238E27FC236}">
              <a16:creationId xmlns:a16="http://schemas.microsoft.com/office/drawing/2014/main" id="{FF05DA4D-1280-4C4A-86E6-2520DD8B1067}"/>
            </a:ext>
          </a:extLst>
        </xdr:cNvPr>
        <xdr:cNvGrpSpPr/>
      </xdr:nvGrpSpPr>
      <xdr:grpSpPr>
        <a:xfrm>
          <a:off x="394608" y="5050824"/>
          <a:ext cx="2249983" cy="1054781"/>
          <a:chOff x="5507690" y="2326020"/>
          <a:chExt cx="2054679" cy="1013669"/>
        </a:xfrm>
      </xdr:grpSpPr>
      <xdr:pic>
        <xdr:nvPicPr>
          <xdr:cNvPr id="64" name="Picture 2" descr="Seis claves para que una marca triunfe en YouTube - La Publicidad -  Periódico de Publicidad, Comunicación Comercial y Marketing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AD62D0FD-C712-20F1-F974-17929D229F1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/>
          <a:stretch>
            <a:fillRect/>
          </a:stretch>
        </xdr:blipFill>
        <xdr:spPr bwMode="auto">
          <a:xfrm>
            <a:off x="5681382" y="2711825"/>
            <a:ext cx="1695450" cy="627864"/>
          </a:xfrm>
          <a:prstGeom prst="rect">
            <a:avLst/>
          </a:prstGeom>
          <a:noFill/>
        </xdr:spPr>
      </xdr:pic>
      <xdr:pic>
        <xdr:nvPicPr>
          <xdr:cNvPr id="65" name="52 Imagen" descr="JRecinos Profesional - Muro.png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32097D9A-0BC1-44F0-A45F-6D55CD7A32E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/>
          <a:srcRect l="26999" t="42927" r="19390" b="36699"/>
          <a:stretch>
            <a:fillRect/>
          </a:stretch>
        </xdr:blipFill>
        <xdr:spPr>
          <a:xfrm>
            <a:off x="5507690" y="2326020"/>
            <a:ext cx="2054679" cy="439225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609173</xdr:colOff>
      <xdr:row>6</xdr:row>
      <xdr:rowOff>142047</xdr:rowOff>
    </xdr:from>
    <xdr:to>
      <xdr:col>3</xdr:col>
      <xdr:colOff>784559</xdr:colOff>
      <xdr:row>15</xdr:row>
      <xdr:rowOff>163646</xdr:rowOff>
    </xdr:to>
    <xdr:pic>
      <xdr:nvPicPr>
        <xdr:cNvPr id="66" name="Picture 2">
          <a:extLst>
            <a:ext uri="{FF2B5EF4-FFF2-40B4-BE49-F238E27FC236}">
              <a16:creationId xmlns:a16="http://schemas.microsoft.com/office/drawing/2014/main" id="{DF2D1B03-09FD-4241-8235-561AFD3CD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 l="28592" t="31771" r="29836" b="19618"/>
        <a:stretch>
          <a:fillRect/>
        </a:stretch>
      </xdr:blipFill>
      <xdr:spPr bwMode="auto">
        <a:xfrm>
          <a:off x="1371173" y="1026511"/>
          <a:ext cx="2243672" cy="1613635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3</xdr:col>
      <xdr:colOff>1052870</xdr:colOff>
      <xdr:row>6</xdr:row>
      <xdr:rowOff>138376</xdr:rowOff>
    </xdr:from>
    <xdr:to>
      <xdr:col>4</xdr:col>
      <xdr:colOff>533217</xdr:colOff>
      <xdr:row>15</xdr:row>
      <xdr:rowOff>143411</xdr:rowOff>
    </xdr:to>
    <xdr:pic>
      <xdr:nvPicPr>
        <xdr:cNvPr id="67" name="Picture 3">
          <a:extLst>
            <a:ext uri="{FF2B5EF4-FFF2-40B4-BE49-F238E27FC236}">
              <a16:creationId xmlns:a16="http://schemas.microsoft.com/office/drawing/2014/main" id="{48AA06BF-DF57-4FF9-8E8A-6A0F31304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 l="27324" t="33854" r="29446" b="20139"/>
        <a:stretch>
          <a:fillRect/>
        </a:stretch>
      </xdr:blipFill>
      <xdr:spPr bwMode="auto">
        <a:xfrm>
          <a:off x="3883156" y="1022840"/>
          <a:ext cx="2419490" cy="1597071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3</xdr:col>
      <xdr:colOff>3504</xdr:colOff>
      <xdr:row>8</xdr:row>
      <xdr:rowOff>39108</xdr:rowOff>
    </xdr:from>
    <xdr:to>
      <xdr:col>3</xdr:col>
      <xdr:colOff>1740734</xdr:colOff>
      <xdr:row>14</xdr:row>
      <xdr:rowOff>82415</xdr:rowOff>
    </xdr:to>
    <xdr:pic>
      <xdr:nvPicPr>
        <xdr:cNvPr id="68" name="Imagen 4">
          <a:extLst>
            <a:ext uri="{FF2B5EF4-FFF2-40B4-BE49-F238E27FC236}">
              <a16:creationId xmlns:a16="http://schemas.microsoft.com/office/drawing/2014/main" id="{ED53CBAA-2649-4008-9ED8-7F663BC7E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790" y="1277358"/>
          <a:ext cx="1737230" cy="1104664"/>
        </a:xfrm>
        <a:prstGeom prst="ellipse">
          <a:avLst/>
        </a:prstGeom>
        <a:ln>
          <a:noFill/>
        </a:ln>
        <a:effectLst>
          <a:reflection blurRad="6350" stA="50000" endA="300" endPos="90000" dir="5400000" sy="-100000" algn="bl" rotWithShape="0"/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4320989</xdr:colOff>
      <xdr:row>27</xdr:row>
      <xdr:rowOff>116544</xdr:rowOff>
    </xdr:from>
    <xdr:to>
      <xdr:col>3</xdr:col>
      <xdr:colOff>2774841</xdr:colOff>
      <xdr:row>33</xdr:row>
      <xdr:rowOff>97494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F1966E17-40F4-4A4C-9213-95F93E1DD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7689" y="5260044"/>
          <a:ext cx="2973344" cy="952500"/>
        </a:xfrm>
        <a:prstGeom prst="rect">
          <a:avLst/>
        </a:prstGeom>
      </xdr:spPr>
    </xdr:pic>
    <xdr:clientData/>
  </xdr:twoCellAnchor>
  <xdr:twoCellAnchor>
    <xdr:from>
      <xdr:col>7</xdr:col>
      <xdr:colOff>1428750</xdr:colOff>
      <xdr:row>11</xdr:row>
      <xdr:rowOff>28575</xdr:rowOff>
    </xdr:from>
    <xdr:to>
      <xdr:col>7</xdr:col>
      <xdr:colOff>2878204</xdr:colOff>
      <xdr:row>17</xdr:row>
      <xdr:rowOff>38100</xdr:rowOff>
    </xdr:to>
    <xdr:sp macro="" textlink="">
      <xdr:nvSpPr>
        <xdr:cNvPr id="2" name="32 Rectángulo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A0368F5-245F-43E0-8072-6BC4EEE42AE4}"/>
            </a:ext>
          </a:extLst>
        </xdr:cNvPr>
        <xdr:cNvSpPr/>
      </xdr:nvSpPr>
      <xdr:spPr>
        <a:xfrm>
          <a:off x="10658475" y="1838325"/>
          <a:ext cx="1449454" cy="1095375"/>
        </a:xfrm>
        <a:prstGeom prst="rect">
          <a:avLst/>
        </a:prstGeom>
        <a:solidFill>
          <a:srgbClr val="C0504D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SV" sz="1400"/>
            <a:t>Porporcionalidad ISR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428625</xdr:colOff>
      <xdr:row>64</xdr:row>
      <xdr:rowOff>104775</xdr:rowOff>
    </xdr:from>
    <xdr:to>
      <xdr:col>10</xdr:col>
      <xdr:colOff>628650</xdr:colOff>
      <xdr:row>68</xdr:row>
      <xdr:rowOff>57150</xdr:rowOff>
    </xdr:to>
    <xdr:sp macro="" textlink="">
      <xdr:nvSpPr>
        <xdr:cNvPr id="6233" name="AutoShape 2">
          <a:extLst>
            <a:ext uri="{FF2B5EF4-FFF2-40B4-BE49-F238E27FC236}">
              <a16:creationId xmlns:a16="http://schemas.microsoft.com/office/drawing/2014/main" id="{4E7E3C6F-94EB-E7DC-88D4-600F5DDB4F32}"/>
            </a:ext>
          </a:extLst>
        </xdr:cNvPr>
        <xdr:cNvSpPr>
          <a:spLocks noChangeArrowheads="1"/>
        </xdr:cNvSpPr>
      </xdr:nvSpPr>
      <xdr:spPr bwMode="auto">
        <a:xfrm>
          <a:off x="7658100" y="11001375"/>
          <a:ext cx="200025" cy="609600"/>
        </a:xfrm>
        <a:prstGeom prst="upArrow">
          <a:avLst>
            <a:gd name="adj1" fmla="val 50000"/>
            <a:gd name="adj2" fmla="val 76190"/>
          </a:avLst>
        </a:prstGeom>
        <a:solidFill>
          <a:srgbClr val="9999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314739</xdr:colOff>
      <xdr:row>0</xdr:row>
      <xdr:rowOff>57979</xdr:rowOff>
    </xdr:from>
    <xdr:to>
      <xdr:col>15</xdr:col>
      <xdr:colOff>490060</xdr:colOff>
      <xdr:row>4</xdr:row>
      <xdr:rowOff>16558</xdr:rowOff>
    </xdr:to>
    <xdr:sp macro="" textlink="">
      <xdr:nvSpPr>
        <xdr:cNvPr id="2" name="34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34630A-A914-44B9-8D98-16839FBFD186}"/>
            </a:ext>
          </a:extLst>
        </xdr:cNvPr>
        <xdr:cNvSpPr/>
      </xdr:nvSpPr>
      <xdr:spPr>
        <a:xfrm>
          <a:off x="11835848" y="57979"/>
          <a:ext cx="1069842" cy="728862"/>
        </a:xfrm>
        <a:prstGeom prst="rect">
          <a:avLst/>
        </a:prstGeom>
        <a:solidFill>
          <a:srgbClr val="C0504D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SV" sz="1100"/>
            <a:t>MENÚ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438150</xdr:colOff>
      <xdr:row>2</xdr:row>
      <xdr:rowOff>263525</xdr:rowOff>
    </xdr:from>
    <xdr:to>
      <xdr:col>6</xdr:col>
      <xdr:colOff>746821</xdr:colOff>
      <xdr:row>6</xdr:row>
      <xdr:rowOff>63354</xdr:rowOff>
    </xdr:to>
    <xdr:sp macro="" textlink="">
      <xdr:nvSpPr>
        <xdr:cNvPr id="2" name="34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F25BB6-A29E-45AF-B904-A9D6D5CF8FE5}"/>
            </a:ext>
          </a:extLst>
        </xdr:cNvPr>
        <xdr:cNvSpPr/>
      </xdr:nvSpPr>
      <xdr:spPr>
        <a:xfrm>
          <a:off x="7105650" y="581025"/>
          <a:ext cx="1070671" cy="911079"/>
        </a:xfrm>
        <a:prstGeom prst="rect">
          <a:avLst/>
        </a:prstGeom>
        <a:solidFill>
          <a:srgbClr val="C0504D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SV" sz="1100"/>
            <a:t>MENÚ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428625</xdr:colOff>
      <xdr:row>64</xdr:row>
      <xdr:rowOff>104775</xdr:rowOff>
    </xdr:from>
    <xdr:to>
      <xdr:col>10</xdr:col>
      <xdr:colOff>628650</xdr:colOff>
      <xdr:row>68</xdr:row>
      <xdr:rowOff>57150</xdr:rowOff>
    </xdr:to>
    <xdr:sp macro="" textlink="">
      <xdr:nvSpPr>
        <xdr:cNvPr id="3217" name="AutoShape 2">
          <a:extLst>
            <a:ext uri="{FF2B5EF4-FFF2-40B4-BE49-F238E27FC236}">
              <a16:creationId xmlns:a16="http://schemas.microsoft.com/office/drawing/2014/main" id="{A0FC68FC-6AE6-CCB1-F5E5-9F98C5F4D5A6}"/>
            </a:ext>
          </a:extLst>
        </xdr:cNvPr>
        <xdr:cNvSpPr>
          <a:spLocks noChangeArrowheads="1"/>
        </xdr:cNvSpPr>
      </xdr:nvSpPr>
      <xdr:spPr bwMode="auto">
        <a:xfrm>
          <a:off x="7448550" y="10848975"/>
          <a:ext cx="200025" cy="609600"/>
        </a:xfrm>
        <a:prstGeom prst="upArrow">
          <a:avLst>
            <a:gd name="adj1" fmla="val 50000"/>
            <a:gd name="adj2" fmla="val 76190"/>
          </a:avLst>
        </a:prstGeom>
        <a:solidFill>
          <a:srgbClr val="9999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reddecontadores.com/" TargetMode="External"/><Relationship Id="rId1" Type="http://schemas.openxmlformats.org/officeDocument/2006/relationships/hyperlink" Target="https://www.youtube.com/watch?v=T8WARDGROW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BED41-757D-41E0-B53A-94F3BE1FD0F6}">
  <sheetPr>
    <tabColor rgb="FF0070C0"/>
  </sheetPr>
  <dimension ref="A2:AA44"/>
  <sheetViews>
    <sheetView showGridLines="0" tabSelected="1" zoomScale="85" zoomScaleNormal="85" workbookViewId="0">
      <selection activeCell="G1" sqref="G1"/>
    </sheetView>
  </sheetViews>
  <sheetFormatPr baseColWidth="10" defaultRowHeight="12.75" x14ac:dyDescent="0.2"/>
  <cols>
    <col min="2" max="2" width="28.28515625" bestFit="1" customWidth="1"/>
    <col min="3" max="3" width="2.5703125" bestFit="1" customWidth="1"/>
    <col min="4" max="4" width="44.140625" customWidth="1"/>
    <col min="5" max="5" width="18.5703125" customWidth="1"/>
    <col min="6" max="6" width="22" customWidth="1"/>
    <col min="8" max="8" width="81.7109375" bestFit="1" customWidth="1"/>
    <col min="12" max="12" width="6.28515625" bestFit="1" customWidth="1"/>
    <col min="14" max="14" width="47" bestFit="1" customWidth="1"/>
  </cols>
  <sheetData>
    <row r="2" spans="1:27" ht="14.25" x14ac:dyDescent="0.2">
      <c r="A2" s="109"/>
      <c r="B2" s="109"/>
      <c r="C2" s="109"/>
      <c r="D2" s="109"/>
      <c r="E2" s="109"/>
      <c r="F2" s="109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</row>
    <row r="3" spans="1:27" ht="14.25" x14ac:dyDescent="0.2">
      <c r="A3" s="109"/>
      <c r="B3" s="109"/>
      <c r="C3" s="109"/>
      <c r="D3" s="109"/>
      <c r="E3" s="109"/>
      <c r="F3" s="109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</row>
    <row r="4" spans="1:27" ht="14.25" x14ac:dyDescent="0.2">
      <c r="A4" s="109"/>
      <c r="B4" s="109"/>
      <c r="C4" s="109"/>
      <c r="D4" s="109"/>
      <c r="E4" s="109"/>
      <c r="F4" s="109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</row>
    <row r="5" spans="1:27" ht="14.25" x14ac:dyDescent="0.2">
      <c r="A5" s="109"/>
      <c r="B5" s="109"/>
      <c r="C5" s="109"/>
      <c r="D5" s="109"/>
      <c r="E5" s="109"/>
      <c r="F5" s="109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</row>
    <row r="6" spans="1:27" ht="14.25" x14ac:dyDescent="0.2">
      <c r="A6" s="109"/>
      <c r="B6" s="109"/>
      <c r="C6" s="109"/>
      <c r="D6" s="109"/>
      <c r="E6" s="109"/>
      <c r="F6" s="109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</row>
    <row r="7" spans="1:27" ht="14.25" x14ac:dyDescent="0.2">
      <c r="A7" s="109"/>
      <c r="B7" s="109"/>
      <c r="C7" s="109"/>
      <c r="D7" s="109"/>
      <c r="E7" s="109"/>
      <c r="F7" s="109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</row>
    <row r="8" spans="1:27" ht="14.25" x14ac:dyDescent="0.2">
      <c r="A8" s="109"/>
      <c r="B8" s="109"/>
      <c r="C8" s="109"/>
      <c r="D8" s="109"/>
      <c r="E8" s="109"/>
      <c r="F8" s="109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</row>
    <row r="9" spans="1:27" ht="14.25" x14ac:dyDescent="0.2">
      <c r="A9" s="109"/>
      <c r="B9" s="109"/>
      <c r="C9" s="109"/>
      <c r="D9" s="109"/>
      <c r="F9" s="109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</row>
    <row r="10" spans="1:27" ht="14.25" x14ac:dyDescent="0.2">
      <c r="A10" s="109"/>
      <c r="B10" s="109"/>
      <c r="C10" s="109"/>
      <c r="D10" s="109"/>
      <c r="E10" s="109"/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</row>
    <row r="11" spans="1:27" ht="14.25" x14ac:dyDescent="0.2">
      <c r="A11" s="109"/>
      <c r="B11" s="109"/>
      <c r="C11" s="109"/>
      <c r="D11" s="109"/>
      <c r="E11" s="109"/>
      <c r="F11" s="109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</row>
    <row r="12" spans="1:27" ht="14.25" x14ac:dyDescent="0.2">
      <c r="A12" s="109"/>
      <c r="B12" s="109"/>
      <c r="C12" s="109"/>
      <c r="D12" s="109"/>
      <c r="E12" s="109"/>
      <c r="F12" s="109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</row>
    <row r="13" spans="1:27" ht="14.25" x14ac:dyDescent="0.2">
      <c r="A13" s="109"/>
      <c r="B13" s="109"/>
      <c r="C13" s="109"/>
      <c r="D13" s="109"/>
      <c r="E13" s="109"/>
      <c r="F13" s="109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</row>
    <row r="14" spans="1:27" ht="14.25" x14ac:dyDescent="0.2">
      <c r="A14" s="109"/>
      <c r="B14" s="109"/>
      <c r="C14" s="109"/>
      <c r="D14" s="109"/>
      <c r="E14" s="109"/>
      <c r="F14" s="109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</row>
    <row r="15" spans="1:27" ht="14.25" x14ac:dyDescent="0.2">
      <c r="A15" s="109"/>
      <c r="B15" s="109"/>
      <c r="C15" s="109"/>
      <c r="D15" s="109"/>
      <c r="E15" s="109"/>
      <c r="F15" s="109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</row>
    <row r="16" spans="1:27" ht="14.25" x14ac:dyDescent="0.2">
      <c r="A16" s="109"/>
      <c r="B16" s="109"/>
      <c r="C16" s="109"/>
      <c r="D16" s="109"/>
      <c r="E16" s="109"/>
      <c r="F16" s="109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</row>
    <row r="17" spans="1:27" ht="14.25" x14ac:dyDescent="0.2">
      <c r="A17" s="109"/>
      <c r="B17" s="109"/>
      <c r="C17" s="109"/>
      <c r="D17" s="109"/>
      <c r="E17" s="109"/>
      <c r="F17" s="109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</row>
    <row r="18" spans="1:27" ht="14.25" x14ac:dyDescent="0.2">
      <c r="A18" s="109"/>
      <c r="B18" s="109"/>
      <c r="C18" s="109"/>
      <c r="D18" s="109"/>
      <c r="E18" s="109"/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</row>
    <row r="19" spans="1:27" ht="18" x14ac:dyDescent="0.25">
      <c r="A19" s="109"/>
      <c r="B19" s="111" t="s">
        <v>76</v>
      </c>
      <c r="C19" s="109"/>
      <c r="D19" s="109"/>
      <c r="E19" s="109"/>
      <c r="F19" s="109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</row>
    <row r="20" spans="1:27" ht="14.25" x14ac:dyDescent="0.2">
      <c r="A20" s="109"/>
      <c r="B20" s="112"/>
      <c r="C20" s="113" t="s">
        <v>77</v>
      </c>
      <c r="D20" s="109" t="s">
        <v>78</v>
      </c>
      <c r="E20" s="109"/>
      <c r="F20" s="109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</row>
    <row r="21" spans="1:27" ht="14.25" x14ac:dyDescent="0.2">
      <c r="A21" s="109"/>
      <c r="B21" s="114"/>
      <c r="C21" s="113" t="s">
        <v>77</v>
      </c>
      <c r="D21" s="109" t="s">
        <v>79</v>
      </c>
      <c r="E21" s="109"/>
      <c r="F21" s="109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</row>
    <row r="22" spans="1:27" ht="14.25" x14ac:dyDescent="0.2">
      <c r="A22" s="109"/>
      <c r="B22" s="115"/>
      <c r="C22" s="113" t="s">
        <v>77</v>
      </c>
      <c r="D22" s="109" t="s">
        <v>80</v>
      </c>
      <c r="E22" s="109"/>
      <c r="F22" s="109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</row>
    <row r="23" spans="1:27" ht="14.25" x14ac:dyDescent="0.2">
      <c r="A23" s="109"/>
      <c r="B23" s="116"/>
      <c r="C23" s="113" t="s">
        <v>77</v>
      </c>
      <c r="D23" s="109" t="s">
        <v>81</v>
      </c>
      <c r="E23" s="109"/>
      <c r="F23" s="109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</row>
    <row r="24" spans="1:27" ht="14.25" x14ac:dyDescent="0.2">
      <c r="A24" s="109"/>
      <c r="B24" s="109"/>
      <c r="C24" s="109"/>
      <c r="D24" s="109"/>
      <c r="E24" s="109"/>
      <c r="F24" s="109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</row>
    <row r="25" spans="1:27" ht="15" x14ac:dyDescent="0.2">
      <c r="A25" s="110"/>
      <c r="B25" s="110"/>
      <c r="C25" s="110"/>
      <c r="D25" s="110"/>
      <c r="E25" s="199" t="s">
        <v>101</v>
      </c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</row>
    <row r="26" spans="1:27" ht="15.75" x14ac:dyDescent="0.25">
      <c r="A26" s="110"/>
      <c r="B26" s="117" t="s">
        <v>82</v>
      </c>
      <c r="C26" s="110"/>
      <c r="D26" s="110"/>
      <c r="E26" s="198" t="s">
        <v>100</v>
      </c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</row>
    <row r="27" spans="1:27" ht="15" x14ac:dyDescent="0.2">
      <c r="A27" s="110"/>
      <c r="B27" s="118" t="s">
        <v>83</v>
      </c>
      <c r="C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</row>
    <row r="28" spans="1:27" ht="15" x14ac:dyDescent="0.25">
      <c r="A28" s="119"/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</row>
    <row r="29" spans="1:27" ht="15" x14ac:dyDescent="0.25">
      <c r="A29" s="119"/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</row>
    <row r="30" spans="1:27" ht="15" x14ac:dyDescent="0.25">
      <c r="A30" s="119"/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</row>
    <row r="31" spans="1:27" ht="15" x14ac:dyDescent="0.25">
      <c r="A31" s="119"/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</row>
    <row r="32" spans="1:27" ht="15" x14ac:dyDescent="0.25">
      <c r="A32" s="119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</row>
    <row r="33" spans="1:27" ht="15" x14ac:dyDescent="0.25">
      <c r="A33" s="119"/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</row>
    <row r="34" spans="1:27" ht="15" x14ac:dyDescent="0.25">
      <c r="A34" s="119"/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0"/>
      <c r="P34" s="110"/>
      <c r="Q34" s="110"/>
      <c r="R34" s="110"/>
      <c r="S34" s="110"/>
      <c r="T34" s="110"/>
      <c r="U34" s="119"/>
      <c r="V34" s="110"/>
      <c r="W34" s="110"/>
      <c r="X34" s="110"/>
      <c r="Y34" s="110"/>
      <c r="Z34" s="110"/>
      <c r="AA34" s="110"/>
    </row>
    <row r="35" spans="1:27" ht="15" x14ac:dyDescent="0.25">
      <c r="A35" s="119"/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</row>
    <row r="36" spans="1:27" ht="18.75" x14ac:dyDescent="0.3">
      <c r="G36" s="119"/>
      <c r="H36" s="120" t="s">
        <v>84</v>
      </c>
      <c r="I36" s="119"/>
      <c r="J36" s="119"/>
      <c r="K36" s="119"/>
      <c r="L36" s="119"/>
      <c r="M36" s="119"/>
      <c r="N36" s="119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</row>
    <row r="37" spans="1:27" ht="15" x14ac:dyDescent="0.25">
      <c r="G37" s="119"/>
      <c r="H37" s="110"/>
      <c r="I37" s="110"/>
      <c r="J37" s="110"/>
      <c r="K37" s="110"/>
      <c r="L37" s="119"/>
      <c r="M37" s="119"/>
      <c r="N37" s="119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</row>
    <row r="38" spans="1:27" ht="15" x14ac:dyDescent="0.25">
      <c r="G38" s="119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</row>
    <row r="39" spans="1:27" ht="15" x14ac:dyDescent="0.25">
      <c r="G39" s="119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</row>
    <row r="40" spans="1:27" ht="15" x14ac:dyDescent="0.25">
      <c r="G40" s="119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</row>
    <row r="41" spans="1:27" x14ac:dyDescent="0.2"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</row>
    <row r="42" spans="1:27" x14ac:dyDescent="0.2"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</row>
    <row r="43" spans="1:27" x14ac:dyDescent="0.2"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</row>
    <row r="44" spans="1:27" x14ac:dyDescent="0.2"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</row>
  </sheetData>
  <sheetProtection algorithmName="SHA-512" hashValue="+2KEPPiE1tgPjNU/S+AReIm9Nzs7zDZYGVdnehKNvYjgZ5P2S+iqONzLhDX6ex8JmN/JsYzHhhFYuQrTk4xADw==" saltValue="etJvF8v5eGY5cwXFx8rLrg==" spinCount="100000" sheet="1" objects="1" scenarios="1"/>
  <hyperlinks>
    <hyperlink ref="H39" r:id="rId1" display="https://www.youtube.com/watch?v=T8WARDGROWU" xr:uid="{5A7FE44B-614A-4A79-A662-16F4C11AFCAA}"/>
    <hyperlink ref="E25" r:id="rId2" xr:uid="{A8382DD4-3E68-4E84-A5E4-9721F3701D00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49B46-3A90-487A-AD81-1092AAC9EE1A}">
  <sheetPr codeName="Hoja3">
    <tabColor rgb="FF00B050"/>
    <pageSetUpPr fitToPage="1"/>
  </sheetPr>
  <dimension ref="B1:S73"/>
  <sheetViews>
    <sheetView showGridLines="0" zoomScaleNormal="100" zoomScaleSheetLayoutView="115" workbookViewId="0">
      <pane ySplit="7" topLeftCell="A8" activePane="bottomLeft" state="frozen"/>
      <selection pane="bottomLeft" activeCell="J3" sqref="J3"/>
    </sheetView>
  </sheetViews>
  <sheetFormatPr baseColWidth="10" defaultRowHeight="12.75" x14ac:dyDescent="0.2"/>
  <cols>
    <col min="1" max="1" width="2.85546875" customWidth="1"/>
    <col min="2" max="2" width="16" customWidth="1"/>
    <col min="3" max="3" width="12" customWidth="1"/>
    <col min="6" max="6" width="14.28515625" bestFit="1" customWidth="1"/>
    <col min="7" max="7" width="12.5703125" customWidth="1"/>
    <col min="8" max="9" width="14.7109375" customWidth="1"/>
    <col min="10" max="10" width="13.140625" customWidth="1"/>
    <col min="11" max="11" width="12" bestFit="1" customWidth="1"/>
    <col min="12" max="13" width="12.85546875" customWidth="1"/>
    <col min="14" max="14" width="11.85546875" bestFit="1" customWidth="1"/>
    <col min="15" max="15" width="13.42578125" bestFit="1" customWidth="1"/>
    <col min="16" max="16" width="8.42578125" customWidth="1"/>
    <col min="17" max="17" width="12.85546875" style="38" customWidth="1"/>
    <col min="18" max="18" width="14" style="38" bestFit="1" customWidth="1"/>
  </cols>
  <sheetData>
    <row r="1" spans="2:18" ht="13.5" thickBot="1" x14ac:dyDescent="0.25"/>
    <row r="2" spans="2:18" ht="15.75" x14ac:dyDescent="0.25">
      <c r="B2" s="127" t="s">
        <v>75</v>
      </c>
      <c r="C2" s="128"/>
      <c r="D2" s="128"/>
      <c r="E2" s="128"/>
      <c r="F2" s="128"/>
      <c r="G2" s="128"/>
      <c r="H2" s="173"/>
      <c r="I2" s="173"/>
      <c r="J2" s="173"/>
      <c r="K2" s="173"/>
      <c r="L2" s="173"/>
      <c r="M2" s="173"/>
      <c r="N2" s="174"/>
    </row>
    <row r="3" spans="2:18" ht="15.75" customHeight="1" x14ac:dyDescent="0.2">
      <c r="B3" s="129" t="s">
        <v>97</v>
      </c>
      <c r="C3" s="170"/>
      <c r="D3" s="170"/>
      <c r="E3" s="170"/>
      <c r="F3" s="170"/>
      <c r="G3" s="170"/>
      <c r="H3" s="172">
        <v>2025</v>
      </c>
      <c r="I3" s="171"/>
      <c r="K3" s="171"/>
      <c r="L3" s="168"/>
      <c r="M3" s="168"/>
      <c r="N3" s="169"/>
    </row>
    <row r="4" spans="2:18" ht="15.75" customHeight="1" x14ac:dyDescent="0.2">
      <c r="B4" s="129" t="s">
        <v>85</v>
      </c>
      <c r="C4" s="170"/>
      <c r="D4" s="170"/>
      <c r="E4" s="170"/>
      <c r="F4" s="170"/>
      <c r="G4" s="170"/>
      <c r="H4" s="171"/>
      <c r="I4" s="171"/>
      <c r="J4" s="171"/>
      <c r="K4" s="171"/>
      <c r="L4" s="171"/>
      <c r="M4" s="171"/>
      <c r="N4" s="169"/>
      <c r="Q4"/>
      <c r="R4"/>
    </row>
    <row r="5" spans="2:18" ht="16.5" thickBot="1" x14ac:dyDescent="0.25">
      <c r="B5" s="132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4"/>
      <c r="Q5"/>
      <c r="R5"/>
    </row>
    <row r="6" spans="2:18" ht="13.5" thickBot="1" x14ac:dyDescent="0.25">
      <c r="B6" s="135" t="s">
        <v>65</v>
      </c>
      <c r="C6" s="137" t="s">
        <v>2</v>
      </c>
      <c r="D6" s="138"/>
      <c r="E6" s="139" t="s">
        <v>3</v>
      </c>
      <c r="F6" s="139"/>
      <c r="G6" s="139"/>
      <c r="H6" s="140" t="s">
        <v>44</v>
      </c>
      <c r="I6" s="140" t="s">
        <v>70</v>
      </c>
      <c r="J6" s="135" t="s">
        <v>5</v>
      </c>
      <c r="K6" s="123" t="s">
        <v>6</v>
      </c>
      <c r="L6" s="140" t="s">
        <v>7</v>
      </c>
      <c r="M6" s="135" t="s">
        <v>8</v>
      </c>
      <c r="N6" s="135" t="s">
        <v>9</v>
      </c>
      <c r="Q6"/>
      <c r="R6"/>
    </row>
    <row r="7" spans="2:18" ht="38.25" customHeight="1" thickBot="1" x14ac:dyDescent="0.25">
      <c r="B7" s="136"/>
      <c r="C7" s="121" t="s">
        <v>10</v>
      </c>
      <c r="D7" s="121" t="s">
        <v>11</v>
      </c>
      <c r="E7" s="121" t="s">
        <v>69</v>
      </c>
      <c r="F7" s="121" t="s">
        <v>10</v>
      </c>
      <c r="G7" s="122" t="s">
        <v>13</v>
      </c>
      <c r="H7" s="141"/>
      <c r="I7" s="141"/>
      <c r="J7" s="136"/>
      <c r="K7" s="124"/>
      <c r="L7" s="141"/>
      <c r="M7" s="136"/>
      <c r="N7" s="136"/>
      <c r="Q7"/>
      <c r="R7"/>
    </row>
    <row r="8" spans="2:18" x14ac:dyDescent="0.2">
      <c r="B8" s="36"/>
      <c r="C8" s="37"/>
      <c r="D8" s="4"/>
      <c r="E8" s="42"/>
      <c r="F8" s="42"/>
      <c r="G8" s="43"/>
      <c r="H8" s="4"/>
      <c r="I8" s="4"/>
      <c r="J8" s="4"/>
      <c r="K8" s="4"/>
      <c r="L8" s="4"/>
      <c r="M8" s="3"/>
      <c r="N8" s="5"/>
      <c r="Q8"/>
      <c r="R8"/>
    </row>
    <row r="9" spans="2:18" x14ac:dyDescent="0.2">
      <c r="B9" s="6" t="s">
        <v>14</v>
      </c>
      <c r="C9" s="108">
        <v>4637.29</v>
      </c>
      <c r="D9" s="7">
        <f>ROUND(C9*13%,2)</f>
        <v>602.85</v>
      </c>
      <c r="E9" s="107">
        <v>0</v>
      </c>
      <c r="F9" s="107">
        <v>21706.880000000001</v>
      </c>
      <c r="G9" s="7">
        <f>SUM(E9:F9)</f>
        <v>21706.880000000001</v>
      </c>
      <c r="H9" s="7">
        <f>ROUND(D9*F10,2)</f>
        <v>602.85</v>
      </c>
      <c r="I9" s="7">
        <f>D9-H9</f>
        <v>0</v>
      </c>
      <c r="J9" s="7">
        <v>0</v>
      </c>
      <c r="K9" s="7">
        <f>ROUND(F9*0.13,2)</f>
        <v>2821.89</v>
      </c>
      <c r="L9" s="7">
        <f>SUM(K9-H9-J9)</f>
        <v>2219.04</v>
      </c>
      <c r="M9" s="7"/>
      <c r="N9" s="7">
        <f>SUM(L9-M9)</f>
        <v>2219.04</v>
      </c>
      <c r="Q9"/>
      <c r="R9"/>
    </row>
    <row r="10" spans="2:18" x14ac:dyDescent="0.2">
      <c r="B10" s="6" t="s">
        <v>15</v>
      </c>
      <c r="C10" s="52"/>
      <c r="D10" s="7"/>
      <c r="E10" s="53">
        <f>+E9/G9</f>
        <v>0</v>
      </c>
      <c r="F10" s="53">
        <f>+F9/G9</f>
        <v>1</v>
      </c>
      <c r="G10" s="53">
        <f>+E10+F10</f>
        <v>1</v>
      </c>
      <c r="H10" s="7">
        <f>D10*F12/100</f>
        <v>0</v>
      </c>
      <c r="I10" s="7"/>
      <c r="J10" s="7"/>
      <c r="K10" s="7"/>
      <c r="L10" s="7"/>
      <c r="M10" s="7"/>
      <c r="N10" s="7"/>
      <c r="Q10"/>
      <c r="R10"/>
    </row>
    <row r="11" spans="2:18" x14ac:dyDescent="0.2">
      <c r="B11" s="6"/>
      <c r="C11" s="52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Q11"/>
      <c r="R11"/>
    </row>
    <row r="12" spans="2:18" x14ac:dyDescent="0.2">
      <c r="B12" s="6" t="s">
        <v>16</v>
      </c>
      <c r="C12" s="108">
        <v>6980.55</v>
      </c>
      <c r="D12" s="7">
        <f>ROUND(C12*13%,2)</f>
        <v>907.47</v>
      </c>
      <c r="E12" s="107">
        <v>6418.61</v>
      </c>
      <c r="F12" s="107">
        <v>20600.09</v>
      </c>
      <c r="G12" s="7">
        <f>SUM(E12:F12)</f>
        <v>27018.7</v>
      </c>
      <c r="H12" s="7">
        <f>ROUND(D12*F14,2)</f>
        <v>787.93</v>
      </c>
      <c r="I12" s="7">
        <f>D12-H12</f>
        <v>119.54000000000008</v>
      </c>
      <c r="J12" s="7">
        <v>0</v>
      </c>
      <c r="K12" s="7">
        <f>ROUND(F12*0.13,2)</f>
        <v>2678.01</v>
      </c>
      <c r="L12" s="7">
        <f>SUM(K12-H12-J12)</f>
        <v>1890.0800000000004</v>
      </c>
      <c r="M12" s="7"/>
      <c r="N12" s="7">
        <f>SUM(L12-M12)</f>
        <v>1890.0800000000004</v>
      </c>
      <c r="Q12"/>
      <c r="R12"/>
    </row>
    <row r="13" spans="2:18" x14ac:dyDescent="0.2">
      <c r="B13" s="6" t="s">
        <v>17</v>
      </c>
      <c r="C13" s="38">
        <f>SUM(C9+C12)</f>
        <v>11617.84</v>
      </c>
      <c r="D13" s="7">
        <f>SUM(D9+D12)</f>
        <v>1510.3200000000002</v>
      </c>
      <c r="E13" s="7">
        <f>+E12+E9</f>
        <v>6418.61</v>
      </c>
      <c r="F13" s="7">
        <f>+F12+F9</f>
        <v>42306.97</v>
      </c>
      <c r="G13" s="7">
        <f>+G12+G9</f>
        <v>48725.58</v>
      </c>
      <c r="H13" s="7"/>
      <c r="I13" s="7"/>
      <c r="J13" s="7"/>
      <c r="K13" s="7"/>
      <c r="L13" s="7"/>
      <c r="M13" s="7"/>
      <c r="N13" s="7"/>
      <c r="Q13"/>
      <c r="R13"/>
    </row>
    <row r="14" spans="2:18" x14ac:dyDescent="0.2">
      <c r="B14" s="6" t="s">
        <v>15</v>
      </c>
      <c r="C14" s="38"/>
      <c r="D14" s="7"/>
      <c r="E14" s="53">
        <f>E13/G13</f>
        <v>0.13172978135919572</v>
      </c>
      <c r="F14" s="53">
        <f>F13/G13</f>
        <v>0.86827021864080423</v>
      </c>
      <c r="G14" s="53">
        <f>+E14+F14</f>
        <v>1</v>
      </c>
      <c r="H14" s="7"/>
      <c r="I14" s="7"/>
      <c r="J14" s="7"/>
      <c r="K14" s="7"/>
      <c r="L14" s="7"/>
      <c r="M14" s="7"/>
      <c r="N14" s="7"/>
      <c r="Q14"/>
      <c r="R14"/>
    </row>
    <row r="15" spans="2:18" x14ac:dyDescent="0.2">
      <c r="B15" s="6"/>
      <c r="C15" s="38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Q15"/>
      <c r="R15"/>
    </row>
    <row r="16" spans="2:18" x14ac:dyDescent="0.2">
      <c r="B16" s="6" t="s">
        <v>18</v>
      </c>
      <c r="C16" s="108">
        <v>22535.15</v>
      </c>
      <c r="D16" s="7">
        <f>ROUND(C16*13%,2)</f>
        <v>2929.57</v>
      </c>
      <c r="E16" s="107">
        <v>0</v>
      </c>
      <c r="F16" s="107">
        <v>23920.71</v>
      </c>
      <c r="G16" s="7">
        <f>SUM(E16:F16)</f>
        <v>23920.71</v>
      </c>
      <c r="H16" s="7">
        <f>ROUND(D16*F18,2)</f>
        <v>2670.73</v>
      </c>
      <c r="I16" s="7">
        <f>D16-H16</f>
        <v>258.84000000000015</v>
      </c>
      <c r="J16" s="7">
        <v>0</v>
      </c>
      <c r="K16" s="7">
        <f>ROUND(F16*0.13,2)</f>
        <v>3109.69</v>
      </c>
      <c r="L16" s="7">
        <f>SUM(K16-H16-J16)</f>
        <v>438.96000000000004</v>
      </c>
      <c r="M16" s="7"/>
      <c r="N16" s="7">
        <f>SUM(L16-M16)</f>
        <v>438.96000000000004</v>
      </c>
      <c r="Q16"/>
      <c r="R16"/>
    </row>
    <row r="17" spans="2:18" x14ac:dyDescent="0.2">
      <c r="B17" s="6" t="s">
        <v>17</v>
      </c>
      <c r="C17" s="38">
        <f>SUM(C13+C16)</f>
        <v>34152.990000000005</v>
      </c>
      <c r="D17" s="7">
        <f>SUM(D13+D16)</f>
        <v>4439.8900000000003</v>
      </c>
      <c r="E17" s="7">
        <f>SUM(E13+E16)</f>
        <v>6418.61</v>
      </c>
      <c r="F17" s="7">
        <f>SUM(F13+F16)</f>
        <v>66227.679999999993</v>
      </c>
      <c r="G17" s="7">
        <f>SUM(G13+G16)</f>
        <v>72646.290000000008</v>
      </c>
      <c r="H17" s="7"/>
      <c r="I17" s="7"/>
      <c r="J17" s="7"/>
      <c r="K17" s="7"/>
      <c r="L17" s="7"/>
      <c r="M17" s="7"/>
      <c r="N17" s="7"/>
      <c r="Q17"/>
      <c r="R17"/>
    </row>
    <row r="18" spans="2:18" x14ac:dyDescent="0.2">
      <c r="B18" s="6" t="s">
        <v>15</v>
      </c>
      <c r="C18" s="38"/>
      <c r="D18" s="7"/>
      <c r="E18" s="53">
        <f>E17/G17</f>
        <v>8.8354271085281835E-2</v>
      </c>
      <c r="F18" s="53">
        <f>F17/G17</f>
        <v>0.91164572891471796</v>
      </c>
      <c r="G18" s="53">
        <f>+E18+F18</f>
        <v>0.99999999999999978</v>
      </c>
      <c r="H18" s="7"/>
      <c r="I18" s="7"/>
      <c r="J18" s="7"/>
      <c r="K18" s="7"/>
      <c r="L18" s="7"/>
      <c r="M18" s="7"/>
      <c r="N18" s="7"/>
      <c r="Q18"/>
      <c r="R18"/>
    </row>
    <row r="19" spans="2:18" x14ac:dyDescent="0.2">
      <c r="B19" s="6"/>
      <c r="C19" s="38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Q19"/>
      <c r="R19"/>
    </row>
    <row r="20" spans="2:18" x14ac:dyDescent="0.2">
      <c r="B20" s="6" t="s">
        <v>19</v>
      </c>
      <c r="C20" s="108">
        <v>12485.59</v>
      </c>
      <c r="D20" s="7">
        <f>ROUND(C20*13%,2)</f>
        <v>1623.13</v>
      </c>
      <c r="E20" s="107">
        <v>8196.36</v>
      </c>
      <c r="F20" s="107">
        <v>34976.339999999997</v>
      </c>
      <c r="G20" s="7">
        <f>SUM(E20:F20)</f>
        <v>43172.7</v>
      </c>
      <c r="H20" s="7">
        <f>ROUND(D20*F22,2)</f>
        <v>1418.31</v>
      </c>
      <c r="I20" s="7">
        <f>D20-H20</f>
        <v>204.82000000000016</v>
      </c>
      <c r="J20" s="7">
        <v>0</v>
      </c>
      <c r="K20" s="7">
        <f>ROUND(F20*0.13,2)</f>
        <v>4546.92</v>
      </c>
      <c r="L20" s="7">
        <f>SUM(K20-H20-J20)</f>
        <v>3128.61</v>
      </c>
      <c r="M20" s="7"/>
      <c r="N20" s="7">
        <f>SUM(L20-M20)</f>
        <v>3128.61</v>
      </c>
      <c r="Q20"/>
      <c r="R20"/>
    </row>
    <row r="21" spans="2:18" x14ac:dyDescent="0.2">
      <c r="B21" s="6" t="s">
        <v>17</v>
      </c>
      <c r="C21" s="38">
        <f>SUM(C17+C20)</f>
        <v>46638.58</v>
      </c>
      <c r="D21" s="7">
        <f>SUM(D17+D20)</f>
        <v>6063.02</v>
      </c>
      <c r="E21" s="7">
        <f>SUM(E17+E20)</f>
        <v>14614.970000000001</v>
      </c>
      <c r="F21" s="7">
        <f>SUM(F17+F20)</f>
        <v>101204.01999999999</v>
      </c>
      <c r="G21" s="7">
        <f>SUM(G17+G20)</f>
        <v>115818.99</v>
      </c>
      <c r="H21" s="7"/>
      <c r="I21" s="7"/>
      <c r="J21" s="7"/>
      <c r="K21" s="7"/>
      <c r="L21" s="7"/>
      <c r="M21" s="7"/>
      <c r="N21" s="7"/>
      <c r="Q21"/>
      <c r="R21"/>
    </row>
    <row r="22" spans="2:18" x14ac:dyDescent="0.2">
      <c r="B22" s="6" t="s">
        <v>15</v>
      </c>
      <c r="C22" s="38"/>
      <c r="D22" s="7"/>
      <c r="E22" s="53">
        <f>E21/G21</f>
        <v>0.12618802840535909</v>
      </c>
      <c r="F22" s="53">
        <f>F21/G21</f>
        <v>0.87381197159464075</v>
      </c>
      <c r="G22" s="53">
        <f>+E22+F22</f>
        <v>0.99999999999999978</v>
      </c>
      <c r="H22" s="7"/>
      <c r="I22" s="7"/>
      <c r="J22" s="7"/>
      <c r="K22" s="7"/>
      <c r="L22" s="7"/>
      <c r="M22" s="7"/>
      <c r="N22" s="7"/>
      <c r="Q22"/>
      <c r="R22"/>
    </row>
    <row r="23" spans="2:18" x14ac:dyDescent="0.2">
      <c r="B23" s="6"/>
      <c r="C23" s="38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Q23"/>
      <c r="R23"/>
    </row>
    <row r="24" spans="2:18" x14ac:dyDescent="0.2">
      <c r="B24" s="6" t="s">
        <v>20</v>
      </c>
      <c r="C24" s="108">
        <v>13766.24</v>
      </c>
      <c r="D24" s="7">
        <f>ROUND(C24*13%,2)</f>
        <v>1789.61</v>
      </c>
      <c r="E24" s="107">
        <v>8813.2099999999991</v>
      </c>
      <c r="F24" s="107">
        <v>34315.47</v>
      </c>
      <c r="G24" s="7">
        <f>SUM(E24:F24)</f>
        <v>43128.68</v>
      </c>
      <c r="H24" s="7">
        <f>ROUND(D24*F26,2)</f>
        <v>1525.83</v>
      </c>
      <c r="I24" s="7">
        <f>D24-H24</f>
        <v>263.77999999999997</v>
      </c>
      <c r="J24" s="7">
        <v>0</v>
      </c>
      <c r="K24" s="7">
        <f>ROUND(F24*0.13,2)</f>
        <v>4461.01</v>
      </c>
      <c r="L24" s="7">
        <f>SUM(K24-H24-J24)</f>
        <v>2935.1800000000003</v>
      </c>
      <c r="M24" s="7"/>
      <c r="N24" s="7">
        <f>SUM(L24-M24)</f>
        <v>2935.1800000000003</v>
      </c>
      <c r="Q24"/>
      <c r="R24"/>
    </row>
    <row r="25" spans="2:18" x14ac:dyDescent="0.2">
      <c r="B25" s="6" t="s">
        <v>17</v>
      </c>
      <c r="C25" s="38">
        <f>SUM(C21+C24)</f>
        <v>60404.82</v>
      </c>
      <c r="D25" s="7">
        <f>SUM(D21+D24)</f>
        <v>7852.63</v>
      </c>
      <c r="E25" s="7">
        <f>SUM(E21+E24)</f>
        <v>23428.18</v>
      </c>
      <c r="F25" s="7">
        <f>SUM(F21+F24)</f>
        <v>135519.49</v>
      </c>
      <c r="G25" s="7">
        <f>SUM(G21+G24)</f>
        <v>158947.67000000001</v>
      </c>
      <c r="H25" s="7"/>
      <c r="I25" s="7"/>
      <c r="J25" s="7"/>
      <c r="K25" s="7"/>
      <c r="L25" s="7"/>
      <c r="M25" s="7"/>
      <c r="N25" s="7"/>
      <c r="Q25"/>
      <c r="R25"/>
    </row>
    <row r="26" spans="2:18" x14ac:dyDescent="0.2">
      <c r="B26" s="6" t="s">
        <v>15</v>
      </c>
      <c r="C26" s="38"/>
      <c r="D26" s="7"/>
      <c r="E26" s="53">
        <f>E25/G25</f>
        <v>0.14739555477598382</v>
      </c>
      <c r="F26" s="53">
        <f>F25/G25</f>
        <v>0.85260444522401602</v>
      </c>
      <c r="G26" s="53">
        <f>+E26+F26</f>
        <v>0.99999999999999978</v>
      </c>
      <c r="H26" s="7"/>
      <c r="I26" s="7"/>
      <c r="J26" s="7"/>
      <c r="K26" s="7"/>
      <c r="L26" s="7"/>
      <c r="M26" s="7"/>
      <c r="N26" s="7"/>
      <c r="Q26"/>
      <c r="R26"/>
    </row>
    <row r="27" spans="2:18" x14ac:dyDescent="0.2">
      <c r="B27" s="6"/>
      <c r="C27" s="38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Q27"/>
      <c r="R27"/>
    </row>
    <row r="28" spans="2:18" x14ac:dyDescent="0.2">
      <c r="B28" s="6" t="s">
        <v>21</v>
      </c>
      <c r="C28" s="108">
        <v>14082.56</v>
      </c>
      <c r="D28" s="7">
        <f>ROUND(C28*13%,2)</f>
        <v>1830.73</v>
      </c>
      <c r="E28" s="107">
        <v>6728.39</v>
      </c>
      <c r="F28" s="107">
        <v>49028.69</v>
      </c>
      <c r="G28" s="7">
        <f>SUM(E28:F28)</f>
        <v>55757.08</v>
      </c>
      <c r="H28" s="7">
        <f>ROUND(D28*F30,2)</f>
        <v>1573.59</v>
      </c>
      <c r="I28" s="7">
        <f>D28-H28</f>
        <v>257.1400000000001</v>
      </c>
      <c r="J28" s="7">
        <v>0</v>
      </c>
      <c r="K28" s="7">
        <f>ROUND(F28*0.13,2)</f>
        <v>6373.73</v>
      </c>
      <c r="L28" s="7">
        <f>SUM(K28-H28-J28)</f>
        <v>4800.1399999999994</v>
      </c>
      <c r="M28" s="7"/>
      <c r="N28" s="7">
        <f>SUM(L28-M28)</f>
        <v>4800.1399999999994</v>
      </c>
      <c r="Q28"/>
      <c r="R28"/>
    </row>
    <row r="29" spans="2:18" x14ac:dyDescent="0.2">
      <c r="B29" s="6" t="s">
        <v>17</v>
      </c>
      <c r="C29" s="38">
        <f>SUM(C25+C28)</f>
        <v>74487.38</v>
      </c>
      <c r="D29" s="7">
        <f>SUM(D25+D28)</f>
        <v>9683.36</v>
      </c>
      <c r="E29" s="7">
        <f>SUM(E25+E28)</f>
        <v>30156.57</v>
      </c>
      <c r="F29" s="7">
        <f>SUM(F25+F28)</f>
        <v>184548.18</v>
      </c>
      <c r="G29" s="7">
        <f>SUM(G25+G28)</f>
        <v>214704.75</v>
      </c>
      <c r="H29" s="7"/>
      <c r="I29" s="7"/>
      <c r="J29" s="7"/>
      <c r="K29" s="7"/>
      <c r="L29" s="9"/>
      <c r="M29" s="7"/>
      <c r="N29" s="10"/>
      <c r="Q29"/>
      <c r="R29"/>
    </row>
    <row r="30" spans="2:18" x14ac:dyDescent="0.2">
      <c r="B30" s="6" t="s">
        <v>15</v>
      </c>
      <c r="C30" s="38"/>
      <c r="D30" s="7"/>
      <c r="E30" s="53">
        <f>E29/G29</f>
        <v>0.14045599829533348</v>
      </c>
      <c r="F30" s="53">
        <f>F29/G29</f>
        <v>0.85954400170466649</v>
      </c>
      <c r="G30" s="53">
        <f>+E30+F30</f>
        <v>1</v>
      </c>
      <c r="H30" s="7"/>
      <c r="I30" s="7"/>
      <c r="J30" s="7"/>
      <c r="K30" s="7"/>
      <c r="L30" s="9"/>
      <c r="M30" s="7"/>
      <c r="N30" s="10"/>
      <c r="Q30"/>
      <c r="R30"/>
    </row>
    <row r="31" spans="2:18" x14ac:dyDescent="0.2">
      <c r="B31" s="6"/>
      <c r="C31" s="38"/>
      <c r="D31" s="7"/>
      <c r="E31" s="7"/>
      <c r="F31" s="7"/>
      <c r="G31" s="7"/>
      <c r="H31" s="7"/>
      <c r="I31" s="7"/>
      <c r="J31" s="7"/>
      <c r="K31" s="7"/>
      <c r="L31" s="9"/>
      <c r="M31" s="7"/>
      <c r="N31" s="10"/>
      <c r="Q31"/>
      <c r="R31"/>
    </row>
    <row r="32" spans="2:18" x14ac:dyDescent="0.2">
      <c r="B32" s="6" t="s">
        <v>22</v>
      </c>
      <c r="C32" s="108">
        <v>25861.35</v>
      </c>
      <c r="D32" s="7">
        <f>ROUND(C32*13%,2)</f>
        <v>3361.98</v>
      </c>
      <c r="E32" s="107">
        <v>8977.39</v>
      </c>
      <c r="F32" s="107">
        <v>38220.25</v>
      </c>
      <c r="G32" s="7">
        <f>SUM(E32:F32)</f>
        <v>47197.64</v>
      </c>
      <c r="H32" s="7">
        <f>ROUND(D32*F34,2)</f>
        <v>2859.63</v>
      </c>
      <c r="I32" s="7">
        <f>D32-H32</f>
        <v>502.34999999999991</v>
      </c>
      <c r="J32" s="7">
        <v>0</v>
      </c>
      <c r="K32" s="7">
        <f>ROUND(F32*0.13,2)</f>
        <v>4968.63</v>
      </c>
      <c r="L32" s="7">
        <f>SUM(K32-H32-J32)</f>
        <v>2109</v>
      </c>
      <c r="M32" s="7"/>
      <c r="N32" s="7">
        <f>SUM(L32-M32)</f>
        <v>2109</v>
      </c>
      <c r="Q32"/>
      <c r="R32"/>
    </row>
    <row r="33" spans="2:18" x14ac:dyDescent="0.2">
      <c r="B33" s="6" t="s">
        <v>17</v>
      </c>
      <c r="C33" s="38">
        <f>SUM(C29+C32)</f>
        <v>100348.73000000001</v>
      </c>
      <c r="D33" s="7">
        <f>SUM(D29+D32)</f>
        <v>13045.34</v>
      </c>
      <c r="E33" s="7">
        <f>SUM(E29+E32)</f>
        <v>39133.96</v>
      </c>
      <c r="F33" s="7">
        <f>SUM(F29+F32)</f>
        <v>222768.43</v>
      </c>
      <c r="G33" s="7">
        <f>SUM(G29+G32)</f>
        <v>261902.39</v>
      </c>
      <c r="H33" s="7"/>
      <c r="I33" s="7"/>
      <c r="J33" s="7"/>
      <c r="K33" s="7"/>
      <c r="L33" s="9"/>
      <c r="M33" s="7"/>
      <c r="N33" s="10"/>
      <c r="Q33"/>
      <c r="R33"/>
    </row>
    <row r="34" spans="2:18" x14ac:dyDescent="0.2">
      <c r="B34" s="6" t="s">
        <v>15</v>
      </c>
      <c r="C34" s="38"/>
      <c r="D34" s="7"/>
      <c r="E34" s="53">
        <f>E33/G33</f>
        <v>0.14942192776476762</v>
      </c>
      <c r="F34" s="53">
        <f>F33/G33</f>
        <v>0.8505780722352323</v>
      </c>
      <c r="G34" s="53">
        <f>+E34+F34</f>
        <v>0.99999999999999989</v>
      </c>
      <c r="H34" s="7"/>
      <c r="I34" s="7"/>
      <c r="J34" s="7"/>
      <c r="K34" s="7"/>
      <c r="L34" s="9"/>
      <c r="M34" s="7"/>
      <c r="N34" s="10"/>
      <c r="Q34"/>
      <c r="R34"/>
    </row>
    <row r="35" spans="2:18" x14ac:dyDescent="0.2">
      <c r="B35" s="6"/>
      <c r="C35" s="38"/>
      <c r="D35" s="7"/>
      <c r="E35" s="7"/>
      <c r="F35" s="7"/>
      <c r="G35" s="7"/>
      <c r="H35" s="7"/>
      <c r="I35" s="7"/>
      <c r="J35" s="7"/>
      <c r="K35" s="7"/>
      <c r="L35" s="9"/>
      <c r="M35" s="7"/>
      <c r="N35" s="10"/>
      <c r="Q35"/>
      <c r="R35"/>
    </row>
    <row r="36" spans="2:18" x14ac:dyDescent="0.2">
      <c r="B36" s="6" t="s">
        <v>23</v>
      </c>
      <c r="C36" s="108">
        <v>16131.02</v>
      </c>
      <c r="D36" s="7">
        <f>ROUND(C36*13%,2)</f>
        <v>2097.0300000000002</v>
      </c>
      <c r="E36" s="107">
        <v>6677.4</v>
      </c>
      <c r="F36" s="107">
        <v>39418.36</v>
      </c>
      <c r="G36" s="7">
        <f>SUM(E36:F36)</f>
        <v>46095.76</v>
      </c>
      <c r="H36" s="7">
        <f>ROUND(D36*F38,2)</f>
        <v>1785.12</v>
      </c>
      <c r="I36" s="7">
        <f>D36-H36</f>
        <v>311.91000000000031</v>
      </c>
      <c r="J36" s="7">
        <v>0</v>
      </c>
      <c r="K36" s="7">
        <f>ROUND(F36*0.13,2)</f>
        <v>5124.3900000000003</v>
      </c>
      <c r="L36" s="7">
        <f>SUM(K36-H36-J36)</f>
        <v>3339.2700000000004</v>
      </c>
      <c r="M36" s="7"/>
      <c r="N36" s="7">
        <f>SUM(L36-M36)</f>
        <v>3339.2700000000004</v>
      </c>
      <c r="Q36"/>
      <c r="R36"/>
    </row>
    <row r="37" spans="2:18" x14ac:dyDescent="0.2">
      <c r="B37" s="6" t="s">
        <v>17</v>
      </c>
      <c r="C37" s="38">
        <f>SUM(C33+C36)</f>
        <v>116479.75000000001</v>
      </c>
      <c r="D37" s="7">
        <f>SUM(D33+D36)</f>
        <v>15142.37</v>
      </c>
      <c r="E37" s="7">
        <f>SUM(E33+E36)</f>
        <v>45811.360000000001</v>
      </c>
      <c r="F37" s="7">
        <f>SUM(F33+F36)</f>
        <v>262186.78999999998</v>
      </c>
      <c r="G37" s="7">
        <f>SUM(G33+G36)</f>
        <v>307998.15000000002</v>
      </c>
      <c r="H37" s="7"/>
      <c r="I37" s="7"/>
      <c r="J37" s="7"/>
      <c r="K37" s="7"/>
      <c r="L37" s="9"/>
      <c r="M37" s="7"/>
      <c r="N37" s="10"/>
      <c r="Q37"/>
      <c r="R37"/>
    </row>
    <row r="38" spans="2:18" x14ac:dyDescent="0.2">
      <c r="B38" s="6" t="s">
        <v>15</v>
      </c>
      <c r="C38" s="38"/>
      <c r="D38" s="7"/>
      <c r="E38" s="53">
        <f>E37/G37</f>
        <v>0.14873907521847127</v>
      </c>
      <c r="F38" s="53">
        <f>F37/G37</f>
        <v>0.85126092478152859</v>
      </c>
      <c r="G38" s="53">
        <f>+E38+F38</f>
        <v>0.99999999999999989</v>
      </c>
      <c r="H38" s="7"/>
      <c r="I38" s="7"/>
      <c r="J38" s="7"/>
      <c r="K38" s="7"/>
      <c r="L38" s="9"/>
      <c r="M38" s="7"/>
      <c r="N38" s="10"/>
      <c r="Q38"/>
      <c r="R38"/>
    </row>
    <row r="39" spans="2:18" x14ac:dyDescent="0.2">
      <c r="B39" s="6"/>
      <c r="C39" s="38"/>
      <c r="D39" s="7"/>
      <c r="E39" s="7"/>
      <c r="F39" s="7"/>
      <c r="G39" s="7"/>
      <c r="H39" s="7"/>
      <c r="I39" s="7"/>
      <c r="J39" s="7"/>
      <c r="K39" s="7"/>
      <c r="L39" s="9"/>
      <c r="M39" s="7"/>
      <c r="N39" s="10"/>
      <c r="Q39"/>
      <c r="R39"/>
    </row>
    <row r="40" spans="2:18" x14ac:dyDescent="0.2">
      <c r="B40" s="6" t="s">
        <v>24</v>
      </c>
      <c r="C40" s="108">
        <v>13753.07</v>
      </c>
      <c r="D40" s="7">
        <f>ROUND(C40*13%,2)</f>
        <v>1787.9</v>
      </c>
      <c r="E40" s="107">
        <v>5358.53</v>
      </c>
      <c r="F40" s="107">
        <v>42035.14</v>
      </c>
      <c r="G40" s="7">
        <f>SUM(E40:F40)</f>
        <v>47393.67</v>
      </c>
      <c r="H40" s="7">
        <f>ROUND(D40*F42,2)</f>
        <v>1530.48</v>
      </c>
      <c r="I40" s="7">
        <f>D40-H40</f>
        <v>257.42000000000007</v>
      </c>
      <c r="J40" s="7">
        <v>0</v>
      </c>
      <c r="K40" s="7">
        <f>ROUND(F40*0.13,2)</f>
        <v>5464.57</v>
      </c>
      <c r="L40" s="7">
        <f>SUM(K40-H40-J40)</f>
        <v>3934.0899999999997</v>
      </c>
      <c r="M40" s="7"/>
      <c r="N40" s="7">
        <f>SUM(L40-M40)</f>
        <v>3934.0899999999997</v>
      </c>
      <c r="Q40"/>
      <c r="R40"/>
    </row>
    <row r="41" spans="2:18" x14ac:dyDescent="0.2">
      <c r="B41" s="6" t="s">
        <v>17</v>
      </c>
      <c r="C41" s="38">
        <f>SUM(C37+C40)</f>
        <v>130232.82</v>
      </c>
      <c r="D41" s="7">
        <f>SUM(D37+D40)</f>
        <v>16930.27</v>
      </c>
      <c r="E41" s="7">
        <f>SUM(E37+E40)</f>
        <v>51169.89</v>
      </c>
      <c r="F41" s="7">
        <f>SUM(F37+F40)</f>
        <v>304221.93</v>
      </c>
      <c r="G41" s="7">
        <f>SUM(G37+G40)</f>
        <v>355391.82</v>
      </c>
      <c r="H41" s="7"/>
      <c r="I41" s="7"/>
      <c r="J41" s="7"/>
      <c r="K41" s="7"/>
      <c r="L41" s="9"/>
      <c r="M41" s="7"/>
      <c r="N41" s="10"/>
      <c r="Q41"/>
      <c r="R41"/>
    </row>
    <row r="42" spans="2:18" x14ac:dyDescent="0.2">
      <c r="B42" s="6" t="s">
        <v>15</v>
      </c>
      <c r="C42" s="38"/>
      <c r="D42" s="7"/>
      <c r="E42" s="53">
        <f>E41/G41</f>
        <v>0.14398162006092319</v>
      </c>
      <c r="F42" s="53">
        <f>F41/G41</f>
        <v>0.85601837993907681</v>
      </c>
      <c r="G42" s="53">
        <f>+E42+F42</f>
        <v>1</v>
      </c>
      <c r="H42" s="7"/>
      <c r="I42" s="7"/>
      <c r="J42" s="7"/>
      <c r="K42" s="7"/>
      <c r="L42" s="9"/>
      <c r="M42" s="7"/>
      <c r="N42" s="10"/>
      <c r="Q42"/>
      <c r="R42"/>
    </row>
    <row r="43" spans="2:18" x14ac:dyDescent="0.2">
      <c r="B43" s="6"/>
      <c r="C43" s="38"/>
      <c r="D43" s="7"/>
      <c r="E43" s="7"/>
      <c r="F43" s="7"/>
      <c r="G43" s="7"/>
      <c r="H43" s="7"/>
      <c r="I43" s="7"/>
      <c r="J43" s="7"/>
      <c r="K43" s="7"/>
      <c r="L43" s="9"/>
      <c r="M43" s="7"/>
      <c r="N43" s="10"/>
      <c r="Q43"/>
      <c r="R43"/>
    </row>
    <row r="44" spans="2:18" x14ac:dyDescent="0.2">
      <c r="B44" s="6" t="s">
        <v>25</v>
      </c>
      <c r="C44" s="108">
        <v>14752.22</v>
      </c>
      <c r="D44" s="7">
        <f>ROUND(C44*13%,2)</f>
        <v>1917.79</v>
      </c>
      <c r="E44" s="107">
        <v>4730.1000000000004</v>
      </c>
      <c r="F44" s="107">
        <v>68567.350000000006</v>
      </c>
      <c r="G44" s="7">
        <f>SUM(E44:F44)</f>
        <v>73297.450000000012</v>
      </c>
      <c r="H44" s="7">
        <f>ROUND(D44*F46,2)</f>
        <v>1667.72</v>
      </c>
      <c r="I44" s="7">
        <f>D44-H44</f>
        <v>250.06999999999994</v>
      </c>
      <c r="J44" s="7">
        <v>0</v>
      </c>
      <c r="K44" s="7">
        <f>ROUND(F44*0.13,2)</f>
        <v>8913.76</v>
      </c>
      <c r="L44" s="7">
        <f>SUM(K44-H44-J44)</f>
        <v>7246.04</v>
      </c>
      <c r="M44" s="7"/>
      <c r="N44" s="7">
        <f>SUM(L44-M44)</f>
        <v>7246.04</v>
      </c>
      <c r="Q44"/>
      <c r="R44"/>
    </row>
    <row r="45" spans="2:18" x14ac:dyDescent="0.2">
      <c r="B45" s="6" t="s">
        <v>17</v>
      </c>
      <c r="C45" s="38">
        <f>SUM(C41+C44)</f>
        <v>144985.04</v>
      </c>
      <c r="D45" s="7">
        <f>SUM(D41+D44)</f>
        <v>18848.060000000001</v>
      </c>
      <c r="E45" s="7">
        <f>SUM(E41+E44)</f>
        <v>55899.99</v>
      </c>
      <c r="F45" s="7">
        <f>SUM(F41+F44)</f>
        <v>372789.28</v>
      </c>
      <c r="G45" s="7">
        <f>SUM(G41+G44)</f>
        <v>428689.27</v>
      </c>
      <c r="H45" s="7"/>
      <c r="I45" s="7"/>
      <c r="J45" s="7"/>
      <c r="K45" s="7"/>
      <c r="L45" s="9"/>
      <c r="M45" s="7"/>
      <c r="N45" s="10"/>
      <c r="Q45"/>
      <c r="R45"/>
    </row>
    <row r="46" spans="2:18" x14ac:dyDescent="0.2">
      <c r="B46" s="6" t="s">
        <v>15</v>
      </c>
      <c r="C46" s="38"/>
      <c r="D46" s="7"/>
      <c r="E46" s="53">
        <f>E45/G45</f>
        <v>0.13039745548098275</v>
      </c>
      <c r="F46" s="53">
        <f>F45/G45</f>
        <v>0.86960254451901731</v>
      </c>
      <c r="G46" s="53">
        <f>+E46+F46</f>
        <v>1</v>
      </c>
      <c r="H46" s="7"/>
      <c r="I46" s="7"/>
      <c r="J46" s="7"/>
      <c r="K46" s="7"/>
      <c r="L46" s="9"/>
      <c r="M46" s="7"/>
      <c r="N46" s="10"/>
      <c r="Q46"/>
      <c r="R46"/>
    </row>
    <row r="47" spans="2:18" x14ac:dyDescent="0.2">
      <c r="B47" s="6"/>
      <c r="C47" s="38"/>
      <c r="D47" s="7"/>
      <c r="E47" s="7"/>
      <c r="F47" s="7"/>
      <c r="G47" s="7"/>
      <c r="H47" s="7"/>
      <c r="I47" s="7"/>
      <c r="J47" s="7"/>
      <c r="K47" s="7"/>
      <c r="L47" s="9"/>
      <c r="M47" s="7"/>
      <c r="N47" s="10"/>
      <c r="Q47"/>
      <c r="R47"/>
    </row>
    <row r="48" spans="2:18" x14ac:dyDescent="0.2">
      <c r="B48" s="6" t="s">
        <v>26</v>
      </c>
      <c r="C48" s="108">
        <v>12393.93</v>
      </c>
      <c r="D48" s="7">
        <f>ROUND(C48*13%,2)</f>
        <v>1611.21</v>
      </c>
      <c r="E48" s="107">
        <v>4368.3900000000003</v>
      </c>
      <c r="F48" s="107">
        <v>51023.01</v>
      </c>
      <c r="G48" s="7">
        <f>SUM(E48:F48)</f>
        <v>55391.4</v>
      </c>
      <c r="H48" s="7">
        <f>ROUND(D48*F50,2)</f>
        <v>1410.61</v>
      </c>
      <c r="I48" s="7">
        <f>D48-H48</f>
        <v>200.60000000000014</v>
      </c>
      <c r="J48" s="7">
        <v>0</v>
      </c>
      <c r="K48" s="7">
        <f>ROUND(F48*0.13,2)</f>
        <v>6632.99</v>
      </c>
      <c r="L48" s="7">
        <f>SUM(K48-H48-J48)</f>
        <v>5222.38</v>
      </c>
      <c r="M48" s="7"/>
      <c r="N48" s="7">
        <f>SUM(L48-M48)</f>
        <v>5222.38</v>
      </c>
      <c r="Q48"/>
      <c r="R48"/>
    </row>
    <row r="49" spans="2:19" x14ac:dyDescent="0.2">
      <c r="B49" s="6" t="s">
        <v>17</v>
      </c>
      <c r="C49" s="38">
        <f>SUM(C45+C48)</f>
        <v>157378.97</v>
      </c>
      <c r="D49" s="7">
        <f>SUM(D45+D48)</f>
        <v>20459.27</v>
      </c>
      <c r="E49" s="7">
        <f>SUM(E45+E48)</f>
        <v>60268.38</v>
      </c>
      <c r="F49" s="7">
        <f>SUM(F45+F48)</f>
        <v>423812.29000000004</v>
      </c>
      <c r="G49" s="7">
        <f>SUM(G45+G48)</f>
        <v>484080.67000000004</v>
      </c>
      <c r="H49" s="7"/>
      <c r="I49" s="7"/>
      <c r="J49" s="7"/>
      <c r="K49" s="7"/>
      <c r="L49" s="9"/>
      <c r="M49" s="7"/>
      <c r="N49" s="10"/>
      <c r="Q49"/>
      <c r="R49"/>
    </row>
    <row r="50" spans="2:19" x14ac:dyDescent="0.2">
      <c r="B50" s="6" t="s">
        <v>15</v>
      </c>
      <c r="C50" s="38"/>
      <c r="D50" s="7"/>
      <c r="E50" s="53">
        <f>E49/G49</f>
        <v>0.12450069530766431</v>
      </c>
      <c r="F50" s="53">
        <f>F49/G49</f>
        <v>0.87549930469233572</v>
      </c>
      <c r="G50" s="53">
        <f>+E50+F50</f>
        <v>1</v>
      </c>
      <c r="H50" s="7"/>
      <c r="I50" s="7"/>
      <c r="J50" s="7"/>
      <c r="K50" s="7"/>
      <c r="L50" s="9"/>
      <c r="M50" s="7"/>
      <c r="N50" s="10"/>
      <c r="Q50"/>
      <c r="R50"/>
    </row>
    <row r="51" spans="2:19" x14ac:dyDescent="0.2">
      <c r="B51" s="6"/>
      <c r="C51" s="38"/>
      <c r="D51" s="7"/>
      <c r="E51" s="7"/>
      <c r="F51" s="7"/>
      <c r="G51" s="7"/>
      <c r="H51" s="7"/>
      <c r="I51" s="7"/>
      <c r="J51" s="7"/>
      <c r="K51" s="7"/>
      <c r="L51" s="9"/>
      <c r="M51" s="7"/>
      <c r="N51" s="10"/>
      <c r="Q51"/>
      <c r="R51"/>
    </row>
    <row r="52" spans="2:19" x14ac:dyDescent="0.2">
      <c r="B52" s="6" t="s">
        <v>27</v>
      </c>
      <c r="C52" s="108">
        <v>14325.89</v>
      </c>
      <c r="D52" s="7">
        <f>ROUND(C52*13%,2)</f>
        <v>1862.37</v>
      </c>
      <c r="E52" s="107">
        <v>4786.76</v>
      </c>
      <c r="F52" s="107">
        <v>56034.12</v>
      </c>
      <c r="G52" s="7">
        <f>SUM(E52:F52)</f>
        <v>60820.880000000005</v>
      </c>
      <c r="H52" s="7">
        <f>ROUND(D52*F54,2)</f>
        <v>1640.02</v>
      </c>
      <c r="I52" s="7">
        <f>D52-H52</f>
        <v>222.34999999999991</v>
      </c>
      <c r="J52" s="7">
        <v>0</v>
      </c>
      <c r="K52" s="7">
        <f>ROUND(F52*0.13,2)</f>
        <v>7284.44</v>
      </c>
      <c r="L52" s="7">
        <f>SUM(K52-H52-J52)</f>
        <v>5644.42</v>
      </c>
      <c r="M52" s="7"/>
      <c r="N52" s="7">
        <f>SUM(L52-M52)</f>
        <v>5644.42</v>
      </c>
      <c r="Q52"/>
      <c r="R52"/>
      <c r="S52" s="45"/>
    </row>
    <row r="53" spans="2:19" x14ac:dyDescent="0.2">
      <c r="B53" s="6" t="s">
        <v>17</v>
      </c>
      <c r="C53" s="38">
        <f>SUM(C49+C52)</f>
        <v>171704.86</v>
      </c>
      <c r="D53" s="7">
        <f>SUM(D49+D52)</f>
        <v>22321.64</v>
      </c>
      <c r="E53" s="7">
        <f>SUM(E49+E52)</f>
        <v>65055.14</v>
      </c>
      <c r="F53" s="7">
        <f>SUM(F49+F52)</f>
        <v>479846.41000000003</v>
      </c>
      <c r="G53" s="7">
        <f>SUM(G49+G52)</f>
        <v>544901.55000000005</v>
      </c>
      <c r="H53" s="7"/>
      <c r="I53" s="7"/>
      <c r="J53" s="7"/>
      <c r="K53" s="7"/>
      <c r="L53" s="9"/>
      <c r="M53" s="7"/>
      <c r="N53" s="11"/>
      <c r="Q53"/>
      <c r="R53"/>
    </row>
    <row r="54" spans="2:19" x14ac:dyDescent="0.2">
      <c r="B54" s="6" t="s">
        <v>15</v>
      </c>
      <c r="C54" s="38"/>
      <c r="D54" s="7"/>
      <c r="E54" s="53">
        <f>E53/G53</f>
        <v>0.11938879601278432</v>
      </c>
      <c r="F54" s="53">
        <f>F53/G53</f>
        <v>0.88061120398721571</v>
      </c>
      <c r="G54" s="53">
        <f>+E54+F54</f>
        <v>1</v>
      </c>
      <c r="H54" s="7"/>
      <c r="I54" s="7"/>
      <c r="J54" s="7"/>
      <c r="K54" s="7"/>
      <c r="L54" s="9"/>
      <c r="M54" s="11"/>
      <c r="N54" s="11"/>
      <c r="Q54"/>
      <c r="R54"/>
    </row>
    <row r="55" spans="2:19" ht="13.5" thickBot="1" x14ac:dyDescent="0.25">
      <c r="B55" s="6"/>
      <c r="C55" s="38"/>
      <c r="D55" s="7"/>
      <c r="E55" s="7"/>
      <c r="F55" s="7"/>
      <c r="G55" s="7"/>
      <c r="H55" s="7"/>
      <c r="I55" s="7"/>
      <c r="J55" s="7"/>
      <c r="K55" s="7"/>
      <c r="L55" s="13"/>
      <c r="M55" s="14"/>
      <c r="N55" s="14"/>
      <c r="Q55"/>
      <c r="R55"/>
    </row>
    <row r="56" spans="2:19" x14ac:dyDescent="0.2">
      <c r="B56" s="15" t="s">
        <v>13</v>
      </c>
      <c r="C56" s="38">
        <f>SUM(C53)</f>
        <v>171704.86</v>
      </c>
      <c r="D56" s="7">
        <f>SUM(D53)</f>
        <v>22321.64</v>
      </c>
      <c r="E56" s="7">
        <f>SUM(E53)</f>
        <v>65055.14</v>
      </c>
      <c r="F56" s="7">
        <f>SUM(F53)</f>
        <v>479846.41000000003</v>
      </c>
      <c r="G56" s="7">
        <f>SUM(G53)</f>
        <v>544901.55000000005</v>
      </c>
      <c r="H56" s="7">
        <f>SUM(H8:H55)</f>
        <v>19472.82</v>
      </c>
      <c r="I56" s="7">
        <f>D56-H56</f>
        <v>2848.8199999999997</v>
      </c>
      <c r="J56" s="7">
        <f t="shared" ref="J56:N56" si="0">SUM(J8:J55)</f>
        <v>0</v>
      </c>
      <c r="K56" s="7">
        <f t="shared" si="0"/>
        <v>62380.030000000006</v>
      </c>
      <c r="L56" s="7">
        <f t="shared" si="0"/>
        <v>42907.21</v>
      </c>
      <c r="M56" s="7">
        <f t="shared" si="0"/>
        <v>0</v>
      </c>
      <c r="N56" s="7">
        <f t="shared" si="0"/>
        <v>42907.21</v>
      </c>
      <c r="Q56"/>
      <c r="R56"/>
    </row>
    <row r="57" spans="2:19" x14ac:dyDescent="0.2">
      <c r="B57" s="6" t="s">
        <v>15</v>
      </c>
      <c r="C57" s="39"/>
      <c r="D57" s="7"/>
      <c r="E57" s="49">
        <f>ROUND(E56/G56,4)</f>
        <v>0.11940000000000001</v>
      </c>
      <c r="F57" s="49">
        <f>ROUND(F56/G56,4)</f>
        <v>0.88060000000000005</v>
      </c>
      <c r="G57" s="49">
        <f>+G56/G56</f>
        <v>1</v>
      </c>
      <c r="H57" s="7"/>
      <c r="I57" s="7"/>
      <c r="J57" s="7"/>
      <c r="K57" s="7"/>
      <c r="L57" s="8"/>
      <c r="M57" s="8"/>
      <c r="N57" s="11"/>
      <c r="Q57"/>
      <c r="R57"/>
    </row>
    <row r="58" spans="2:19" x14ac:dyDescent="0.2">
      <c r="B58" s="15" t="s">
        <v>28</v>
      </c>
      <c r="C58" s="37"/>
      <c r="D58" s="7"/>
      <c r="E58" s="49">
        <f>F57</f>
        <v>0.88060000000000005</v>
      </c>
      <c r="F58" s="7" t="s">
        <v>29</v>
      </c>
      <c r="G58" s="7">
        <f>D56</f>
        <v>22321.64</v>
      </c>
      <c r="H58" s="7">
        <f>ROUND(D56*F57,2)</f>
        <v>19656.439999999999</v>
      </c>
      <c r="I58" s="7">
        <f>D56-H58</f>
        <v>2665.2000000000007</v>
      </c>
      <c r="J58" s="7"/>
      <c r="K58" s="7"/>
      <c r="L58" s="3"/>
      <c r="M58" s="3"/>
      <c r="N58" s="3"/>
      <c r="Q58"/>
      <c r="R58"/>
    </row>
    <row r="59" spans="2:19" x14ac:dyDescent="0.2">
      <c r="B59" s="15" t="s">
        <v>30</v>
      </c>
      <c r="C59" s="37"/>
      <c r="D59" s="3"/>
      <c r="E59" s="3"/>
      <c r="F59" s="3"/>
      <c r="G59" s="3"/>
      <c r="H59" s="3">
        <f>SUM(H56-H58)</f>
        <v>-183.61999999999898</v>
      </c>
      <c r="I59" s="3">
        <f>SUM(I56-I58)</f>
        <v>183.61999999999898</v>
      </c>
      <c r="J59" s="8"/>
      <c r="K59" s="3"/>
      <c r="L59" s="3"/>
      <c r="M59" s="3"/>
      <c r="N59" s="3"/>
      <c r="Q59"/>
      <c r="R59"/>
    </row>
    <row r="60" spans="2:19" ht="13.5" thickBot="1" x14ac:dyDescent="0.25">
      <c r="B60" s="17"/>
      <c r="C60" s="41"/>
      <c r="D60" s="12"/>
      <c r="E60" s="12"/>
      <c r="F60" s="12"/>
      <c r="G60" s="12"/>
      <c r="H60" s="12"/>
      <c r="I60" s="12"/>
      <c r="J60" s="12"/>
      <c r="K60" s="12"/>
      <c r="L60" s="12"/>
      <c r="M60" s="18"/>
      <c r="N60" s="18"/>
      <c r="Q60"/>
      <c r="R60"/>
    </row>
    <row r="61" spans="2:19" x14ac:dyDescent="0.2">
      <c r="B61" s="19"/>
      <c r="C61" s="20"/>
      <c r="D61" s="20"/>
      <c r="E61" s="20"/>
      <c r="F61" s="20"/>
      <c r="G61" s="20"/>
      <c r="H61" s="20"/>
      <c r="I61" s="20"/>
      <c r="J61" s="20"/>
      <c r="K61" s="21"/>
      <c r="L61" s="21"/>
      <c r="M61" s="21"/>
      <c r="N61" s="22"/>
      <c r="Q61"/>
      <c r="R61"/>
    </row>
    <row r="62" spans="2:19" x14ac:dyDescent="0.2">
      <c r="B62" s="23"/>
      <c r="C62" s="24"/>
      <c r="D62" s="24"/>
      <c r="E62" s="24"/>
      <c r="F62" s="25" t="s">
        <v>31</v>
      </c>
      <c r="G62" s="25" t="s">
        <v>32</v>
      </c>
      <c r="H62" s="25"/>
      <c r="I62" s="25"/>
      <c r="J62" s="25"/>
      <c r="K62" s="3">
        <f>H56</f>
        <v>19472.82</v>
      </c>
      <c r="L62" s="25" t="s">
        <v>33</v>
      </c>
      <c r="M62" s="25"/>
      <c r="N62" s="26"/>
      <c r="Q62"/>
      <c r="R62"/>
    </row>
    <row r="63" spans="2:19" x14ac:dyDescent="0.2">
      <c r="B63" s="23"/>
      <c r="C63" s="24"/>
      <c r="D63" s="24"/>
      <c r="E63" s="24"/>
      <c r="F63" s="27"/>
      <c r="G63" s="25" t="s">
        <v>34</v>
      </c>
      <c r="H63" s="25"/>
      <c r="I63" s="25"/>
      <c r="J63" s="25"/>
      <c r="K63" s="55">
        <f>H58</f>
        <v>19656.439999999999</v>
      </c>
      <c r="L63" s="25" t="s">
        <v>73</v>
      </c>
      <c r="M63" s="25"/>
      <c r="N63" s="28"/>
      <c r="Q63"/>
      <c r="R63"/>
    </row>
    <row r="64" spans="2:19" x14ac:dyDescent="0.2">
      <c r="B64" s="23" t="s">
        <v>48</v>
      </c>
      <c r="C64" s="25"/>
      <c r="D64" s="25"/>
      <c r="E64" s="25"/>
      <c r="F64" s="27"/>
      <c r="G64" s="27" t="str">
        <f>IF(K64&gt;0,"Diferencia a favor del contribuyente, casilla 133","Diferencia en contra del contribuyente, casilla 134")</f>
        <v>Diferencia a favor del contribuyente, casilla 133</v>
      </c>
      <c r="H64" s="25"/>
      <c r="I64" s="25"/>
      <c r="J64" s="25"/>
      <c r="K64" s="54">
        <f>K63-K62</f>
        <v>183.61999999999898</v>
      </c>
      <c r="L64" s="25"/>
      <c r="M64" s="25"/>
      <c r="N64" s="26"/>
    </row>
    <row r="65" spans="2:14" ht="13.5" thickBot="1" x14ac:dyDescent="0.25">
      <c r="B65" s="125" t="s">
        <v>47</v>
      </c>
      <c r="C65" s="126"/>
      <c r="D65" s="126"/>
      <c r="E65" s="126"/>
      <c r="F65" s="29"/>
      <c r="G65" s="30" t="s">
        <v>74</v>
      </c>
      <c r="H65" s="30"/>
      <c r="I65" s="30"/>
      <c r="J65" s="30"/>
      <c r="K65" s="3"/>
      <c r="L65" s="31"/>
      <c r="M65" s="30"/>
      <c r="N65" s="32"/>
    </row>
    <row r="66" spans="2:14" x14ac:dyDescent="0.2">
      <c r="B66" s="33"/>
      <c r="C66" s="33"/>
      <c r="D66" s="33"/>
      <c r="E66" s="33"/>
      <c r="F66" s="33"/>
      <c r="G66" s="25"/>
      <c r="H66" s="25"/>
      <c r="I66" s="25"/>
      <c r="J66" s="25"/>
      <c r="K66" s="25"/>
      <c r="M66" s="25"/>
      <c r="N66" s="25"/>
    </row>
    <row r="67" spans="2:14" x14ac:dyDescent="0.2">
      <c r="B67" s="33"/>
      <c r="C67" s="33"/>
      <c r="D67" s="33"/>
      <c r="E67" s="33"/>
      <c r="F67" s="33"/>
      <c r="G67" s="25"/>
      <c r="H67" s="25"/>
      <c r="I67" s="25"/>
      <c r="J67" s="25"/>
      <c r="K67" s="25"/>
      <c r="M67" s="25"/>
      <c r="N67" s="25"/>
    </row>
    <row r="68" spans="2:14" x14ac:dyDescent="0.2">
      <c r="B68" s="33"/>
      <c r="C68" s="33"/>
      <c r="D68" s="33"/>
      <c r="E68" s="33"/>
      <c r="F68" s="33"/>
      <c r="G68" s="25"/>
      <c r="H68" s="25"/>
      <c r="I68" s="25"/>
      <c r="J68" s="25"/>
      <c r="K68" s="25"/>
      <c r="M68" s="25"/>
      <c r="N68" s="25"/>
    </row>
    <row r="69" spans="2:14" x14ac:dyDescent="0.2">
      <c r="B69" s="33"/>
      <c r="C69" s="33"/>
      <c r="D69" s="33"/>
      <c r="E69" s="33"/>
      <c r="F69" s="33"/>
      <c r="G69" s="25"/>
      <c r="H69" s="25"/>
      <c r="I69" s="25"/>
      <c r="J69" s="25"/>
      <c r="K69" s="25"/>
      <c r="M69" s="25"/>
      <c r="N69" s="25"/>
    </row>
    <row r="70" spans="2:14" ht="15.75" x14ac:dyDescent="0.25">
      <c r="B70" s="34" t="s">
        <v>43</v>
      </c>
      <c r="C70" s="33"/>
      <c r="D70" s="33"/>
      <c r="E70" s="33"/>
      <c r="F70" s="33"/>
      <c r="G70" s="25"/>
      <c r="H70" s="25"/>
      <c r="I70" s="25"/>
      <c r="J70" s="25"/>
      <c r="K70" s="25" t="s">
        <v>42</v>
      </c>
      <c r="M70" s="25"/>
      <c r="N70" s="25"/>
    </row>
    <row r="71" spans="2:14" ht="15.75" x14ac:dyDescent="0.25">
      <c r="B71" s="34" t="s">
        <v>36</v>
      </c>
      <c r="C71" s="33"/>
      <c r="D71" s="33"/>
      <c r="E71" s="33"/>
      <c r="F71" s="33"/>
      <c r="G71" s="50"/>
      <c r="H71" s="25"/>
      <c r="I71" s="25"/>
      <c r="J71" s="25"/>
      <c r="K71" s="25"/>
      <c r="M71" s="25"/>
      <c r="N71" s="25"/>
    </row>
    <row r="72" spans="2:14" ht="15.75" x14ac:dyDescent="0.25">
      <c r="B72" s="34" t="s">
        <v>37</v>
      </c>
    </row>
    <row r="73" spans="2:14" ht="15.75" x14ac:dyDescent="0.25">
      <c r="B73" s="34" t="s">
        <v>38</v>
      </c>
    </row>
  </sheetData>
  <mergeCells count="15">
    <mergeCell ref="B3:G3"/>
    <mergeCell ref="B2:G2"/>
    <mergeCell ref="B4:G4"/>
    <mergeCell ref="K6:K7"/>
    <mergeCell ref="B65:E65"/>
    <mergeCell ref="B5:N5"/>
    <mergeCell ref="B6:B7"/>
    <mergeCell ref="C6:D6"/>
    <mergeCell ref="E6:G6"/>
    <mergeCell ref="H6:H7"/>
    <mergeCell ref="J6:J7"/>
    <mergeCell ref="L6:L7"/>
    <mergeCell ref="M6:M7"/>
    <mergeCell ref="N6:N7"/>
    <mergeCell ref="I6:I7"/>
  </mergeCells>
  <phoneticPr fontId="11" type="noConversion"/>
  <pageMargins left="0.4" right="0.38" top="0.46" bottom="0.31" header="0.4" footer="0"/>
  <pageSetup scale="75" fitToHeight="0" orientation="landscape" horizontalDpi="180" verticalDpi="18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CA84B-8E94-44AC-8E7E-D420BB1757F6}">
  <sheetPr>
    <tabColor rgb="FF92D050"/>
  </sheetPr>
  <dimension ref="B3:E22"/>
  <sheetViews>
    <sheetView showGridLines="0" zoomScaleNormal="100" workbookViewId="0">
      <selection activeCell="D1" sqref="D1"/>
    </sheetView>
  </sheetViews>
  <sheetFormatPr baseColWidth="10" defaultRowHeight="12.75" x14ac:dyDescent="0.2"/>
  <cols>
    <col min="3" max="3" width="38" customWidth="1"/>
    <col min="4" max="4" width="27.5703125" customWidth="1"/>
  </cols>
  <sheetData>
    <row r="3" spans="2:5" ht="25.5" customHeight="1" x14ac:dyDescent="0.25">
      <c r="B3" s="175" t="str">
        <f>ProporcIVA!B2</f>
        <v>ABC123, S.A.S. DE C.V.</v>
      </c>
      <c r="C3" s="176"/>
    </row>
    <row r="4" spans="2:5" ht="25.5" customHeight="1" x14ac:dyDescent="0.25">
      <c r="B4" s="176" t="s">
        <v>96</v>
      </c>
      <c r="C4" s="177">
        <f>ProporcIVA!H3</f>
        <v>2025</v>
      </c>
    </row>
    <row r="5" spans="2:5" ht="25.5" customHeight="1" x14ac:dyDescent="0.25">
      <c r="B5" s="176" t="s">
        <v>98</v>
      </c>
      <c r="C5" s="176"/>
    </row>
    <row r="8" spans="2:5" s="167" customFormat="1" ht="24.75" customHeight="1" x14ac:dyDescent="0.2">
      <c r="C8"/>
      <c r="D8"/>
      <c r="E8"/>
    </row>
    <row r="9" spans="2:5" s="167" customFormat="1" ht="24.75" customHeight="1" x14ac:dyDescent="0.2">
      <c r="C9" s="184" t="s">
        <v>86</v>
      </c>
      <c r="D9" s="184" t="s">
        <v>87</v>
      </c>
    </row>
    <row r="10" spans="2:5" s="167" customFormat="1" ht="24.75" customHeight="1" x14ac:dyDescent="0.2">
      <c r="C10" s="187" t="s">
        <v>88</v>
      </c>
      <c r="D10" s="188">
        <v>200000</v>
      </c>
    </row>
    <row r="11" spans="2:5" s="167" customFormat="1" ht="24.75" customHeight="1" x14ac:dyDescent="0.2">
      <c r="C11" s="189" t="s">
        <v>89</v>
      </c>
      <c r="D11" s="190">
        <v>50000</v>
      </c>
    </row>
    <row r="12" spans="2:5" s="167" customFormat="1" ht="24.75" customHeight="1" x14ac:dyDescent="0.2">
      <c r="C12" s="191" t="s">
        <v>90</v>
      </c>
      <c r="D12" s="192">
        <v>50000</v>
      </c>
    </row>
    <row r="13" spans="2:5" s="167" customFormat="1" ht="24.75" customHeight="1" x14ac:dyDescent="0.2">
      <c r="C13" s="185" t="s">
        <v>91</v>
      </c>
      <c r="D13" s="186">
        <f>SUM(D10:D12)</f>
        <v>300000</v>
      </c>
    </row>
    <row r="14" spans="2:5" s="167" customFormat="1" ht="24.75" customHeight="1" x14ac:dyDescent="0.2">
      <c r="C14" s="193" t="s">
        <v>93</v>
      </c>
      <c r="D14" s="192">
        <v>60000</v>
      </c>
    </row>
    <row r="15" spans="2:5" s="167" customFormat="1" ht="24.75" customHeight="1" thickBot="1" x14ac:dyDescent="0.25">
      <c r="C15" s="178"/>
      <c r="D15" s="178"/>
    </row>
    <row r="16" spans="2:5" s="167" customFormat="1" ht="24.75" customHeight="1" x14ac:dyDescent="0.2">
      <c r="C16" s="180" t="s">
        <v>99</v>
      </c>
      <c r="D16" s="181"/>
    </row>
    <row r="17" spans="3:5" s="167" customFormat="1" ht="24.75" customHeight="1" x14ac:dyDescent="0.2">
      <c r="C17" s="194" t="s">
        <v>92</v>
      </c>
      <c r="D17" s="195">
        <f>D10/D13</f>
        <v>0.66666666666666663</v>
      </c>
    </row>
    <row r="18" spans="3:5" s="167" customFormat="1" ht="24.75" customHeight="1" x14ac:dyDescent="0.2">
      <c r="C18" s="182" t="s">
        <v>94</v>
      </c>
      <c r="D18" s="196">
        <f>D14*D17</f>
        <v>40000</v>
      </c>
    </row>
    <row r="19" spans="3:5" s="167" customFormat="1" ht="24.75" customHeight="1" thickBot="1" x14ac:dyDescent="0.25">
      <c r="C19" s="183" t="s">
        <v>95</v>
      </c>
      <c r="D19" s="197">
        <f>D14-D18</f>
        <v>20000</v>
      </c>
    </row>
    <row r="20" spans="3:5" ht="15" x14ac:dyDescent="0.2">
      <c r="C20" s="178"/>
      <c r="D20" s="178"/>
      <c r="E20" s="167"/>
    </row>
    <row r="21" spans="3:5" ht="15" x14ac:dyDescent="0.2">
      <c r="C21" s="179"/>
      <c r="D21" s="179"/>
    </row>
    <row r="22" spans="3:5" ht="15" x14ac:dyDescent="0.2">
      <c r="C22" s="179"/>
      <c r="D22" s="179"/>
    </row>
  </sheetData>
  <pageMargins left="0.7" right="0.7" top="0.75" bottom="0.75" header="0.3" footer="0.3"/>
  <pageSetup paperSize="9" scale="88" orientation="portrait" horizontalDpi="0" verticalDpi="0" r:id="rId1"/>
  <colBreaks count="1" manualBreakCount="1">
    <brk id="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09E8E-7D5F-418B-928E-91D0D1067285}">
  <sheetPr codeName="Hoja4">
    <pageSetUpPr fitToPage="1"/>
  </sheetPr>
  <dimension ref="B1:S73"/>
  <sheetViews>
    <sheetView showGridLines="0" zoomScale="145" zoomScaleNormal="145" zoomScaleSheetLayoutView="115" workbookViewId="0">
      <pane xSplit="2" ySplit="7" topLeftCell="C51" activePane="bottomRight" state="frozen"/>
      <selection activeCell="G67" sqref="G67"/>
      <selection pane="topRight" activeCell="G67" sqref="G67"/>
      <selection pane="bottomLeft" activeCell="G67" sqref="G67"/>
      <selection pane="bottomRight" activeCell="G67" sqref="G67"/>
    </sheetView>
  </sheetViews>
  <sheetFormatPr baseColWidth="10" defaultRowHeight="12.75" x14ac:dyDescent="0.2"/>
  <cols>
    <col min="1" max="1" width="2.85546875" customWidth="1"/>
    <col min="2" max="2" width="16" customWidth="1"/>
    <col min="3" max="3" width="12" customWidth="1"/>
    <col min="6" max="6" width="14.28515625" bestFit="1" customWidth="1"/>
    <col min="7" max="7" width="12.5703125" customWidth="1"/>
    <col min="8" max="8" width="11.5703125" bestFit="1" customWidth="1"/>
    <col min="9" max="9" width="11.5703125" customWidth="1"/>
    <col min="10" max="10" width="13.140625" customWidth="1"/>
    <col min="11" max="11" width="12" bestFit="1" customWidth="1"/>
    <col min="12" max="13" width="12.85546875" customWidth="1"/>
    <col min="14" max="14" width="11.85546875" bestFit="1" customWidth="1"/>
    <col min="15" max="15" width="11.7109375" bestFit="1" customWidth="1"/>
    <col min="16" max="16" width="8.42578125" customWidth="1"/>
    <col min="17" max="17" width="12.85546875" style="38" customWidth="1"/>
    <col min="18" max="18" width="14" style="38" bestFit="1" customWidth="1"/>
  </cols>
  <sheetData>
    <row r="1" spans="2:18" ht="13.5" thickBot="1" x14ac:dyDescent="0.25"/>
    <row r="2" spans="2:18" ht="15.75" x14ac:dyDescent="0.25">
      <c r="B2" s="152" t="s">
        <v>45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4"/>
    </row>
    <row r="3" spans="2:18" ht="15.75" x14ac:dyDescent="0.2">
      <c r="B3" s="129" t="s">
        <v>0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1"/>
    </row>
    <row r="4" spans="2:18" ht="15.75" x14ac:dyDescent="0.2">
      <c r="B4" s="129" t="s">
        <v>1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1"/>
    </row>
    <row r="5" spans="2:18" ht="16.5" thickBot="1" x14ac:dyDescent="0.25">
      <c r="B5" s="132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4"/>
    </row>
    <row r="6" spans="2:18" ht="13.5" thickBot="1" x14ac:dyDescent="0.25">
      <c r="B6" s="142" t="s">
        <v>46</v>
      </c>
      <c r="C6" s="155" t="s">
        <v>2</v>
      </c>
      <c r="D6" s="156"/>
      <c r="E6" s="157" t="s">
        <v>3</v>
      </c>
      <c r="F6" s="157"/>
      <c r="G6" s="157"/>
      <c r="H6" s="146" t="s">
        <v>4</v>
      </c>
      <c r="I6" s="150" t="s">
        <v>70</v>
      </c>
      <c r="J6" s="142" t="s">
        <v>5</v>
      </c>
      <c r="K6" s="144" t="s">
        <v>6</v>
      </c>
      <c r="L6" s="146" t="s">
        <v>7</v>
      </c>
      <c r="M6" s="142" t="s">
        <v>8</v>
      </c>
      <c r="N6" s="142" t="s">
        <v>9</v>
      </c>
      <c r="Q6" s="148" t="s">
        <v>39</v>
      </c>
      <c r="R6" s="149"/>
    </row>
    <row r="7" spans="2:18" ht="26.25" customHeight="1" thickBot="1" x14ac:dyDescent="0.25">
      <c r="B7" s="143"/>
      <c r="C7" s="1" t="s">
        <v>10</v>
      </c>
      <c r="D7" s="1" t="s">
        <v>11</v>
      </c>
      <c r="E7" s="1" t="s">
        <v>12</v>
      </c>
      <c r="F7" s="1" t="s">
        <v>10</v>
      </c>
      <c r="G7" s="2" t="s">
        <v>13</v>
      </c>
      <c r="H7" s="147"/>
      <c r="I7" s="151"/>
      <c r="J7" s="143"/>
      <c r="K7" s="145"/>
      <c r="L7" s="147"/>
      <c r="M7" s="143"/>
      <c r="N7" s="143"/>
      <c r="Q7" s="46" t="s">
        <v>41</v>
      </c>
      <c r="R7" s="47" t="s">
        <v>40</v>
      </c>
    </row>
    <row r="8" spans="2:18" x14ac:dyDescent="0.2">
      <c r="B8" s="36"/>
      <c r="C8" s="37"/>
      <c r="D8" s="4"/>
      <c r="E8" s="42"/>
      <c r="F8" s="42"/>
      <c r="G8" s="43"/>
      <c r="H8" s="4"/>
      <c r="I8" s="4"/>
      <c r="J8" s="4"/>
      <c r="K8" s="4"/>
      <c r="L8" s="4"/>
      <c r="M8" s="3"/>
      <c r="N8" s="5"/>
    </row>
    <row r="9" spans="2:18" x14ac:dyDescent="0.2">
      <c r="B9" s="6" t="s">
        <v>14</v>
      </c>
      <c r="C9" s="89">
        <v>9656.48</v>
      </c>
      <c r="D9" s="7">
        <f>ROUND(C9*13%,2)</f>
        <v>1255.3399999999999</v>
      </c>
      <c r="E9" s="90">
        <v>2720.49</v>
      </c>
      <c r="F9" s="90">
        <v>49030.15</v>
      </c>
      <c r="G9" s="7">
        <f>SUM(E9:F9)</f>
        <v>51750.64</v>
      </c>
      <c r="H9" s="7">
        <f>ROUND(D9*F10,2)</f>
        <v>1189.3499999999999</v>
      </c>
      <c r="I9" s="7">
        <f>D9-H9</f>
        <v>65.990000000000009</v>
      </c>
      <c r="J9" s="7">
        <v>1093.82</v>
      </c>
      <c r="K9" s="7">
        <f>ROUND(F9*0.13,2)</f>
        <v>6373.92</v>
      </c>
      <c r="L9" s="7">
        <f>SUM(K9-H9-J9)</f>
        <v>4090.75</v>
      </c>
      <c r="M9" s="7"/>
      <c r="N9" s="7">
        <f>SUM(L9-M9)</f>
        <v>4090.75</v>
      </c>
      <c r="O9" s="40">
        <f>ROUND(D9-H9,2)</f>
        <v>65.989999999999995</v>
      </c>
      <c r="R9" s="38">
        <f>+Q9-G9</f>
        <v>-51750.64</v>
      </c>
    </row>
    <row r="10" spans="2:18" x14ac:dyDescent="0.2">
      <c r="B10" s="6" t="s">
        <v>15</v>
      </c>
      <c r="C10" s="35"/>
      <c r="D10" s="7"/>
      <c r="E10" s="16">
        <f>+E9/G9</f>
        <v>5.2569204941233572E-2</v>
      </c>
      <c r="F10" s="16">
        <f>+F9/G9</f>
        <v>0.94743079505876648</v>
      </c>
      <c r="G10" s="16">
        <f>+E10+F10</f>
        <v>1</v>
      </c>
      <c r="H10" s="7">
        <f>D10*F12/100</f>
        <v>0</v>
      </c>
      <c r="I10" s="7"/>
      <c r="J10" s="7"/>
      <c r="K10" s="7"/>
      <c r="L10" s="7"/>
      <c r="M10" s="7"/>
      <c r="N10" s="7"/>
    </row>
    <row r="11" spans="2:18" x14ac:dyDescent="0.2">
      <c r="B11" s="6"/>
      <c r="C11" s="35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2:18" x14ac:dyDescent="0.2">
      <c r="B12" s="6" t="s">
        <v>16</v>
      </c>
      <c r="C12" s="89">
        <v>10855.81</v>
      </c>
      <c r="D12" s="7">
        <f>ROUND(C12*13%,2)</f>
        <v>1411.26</v>
      </c>
      <c r="E12" s="90">
        <v>2043.09</v>
      </c>
      <c r="F12" s="90">
        <v>43606.17</v>
      </c>
      <c r="G12" s="7">
        <f>SUM(E12:F12)</f>
        <v>45649.259999999995</v>
      </c>
      <c r="H12" s="7">
        <f>ROUND(D12*F14,2)</f>
        <v>1342.24</v>
      </c>
      <c r="I12" s="7">
        <f>D12-H12</f>
        <v>69.019999999999982</v>
      </c>
      <c r="J12" s="7">
        <v>0</v>
      </c>
      <c r="K12" s="7">
        <f>ROUND(F12*0.13,2)</f>
        <v>5668.8</v>
      </c>
      <c r="L12" s="7">
        <f>SUM(K12-H12-J12)</f>
        <v>4326.5600000000004</v>
      </c>
      <c r="M12" s="7"/>
      <c r="N12" s="7">
        <f>SUM(L12-M12)</f>
        <v>4326.5600000000004</v>
      </c>
      <c r="O12" s="40">
        <f>ROUND(D12-H12,2)</f>
        <v>69.02</v>
      </c>
      <c r="R12" s="38">
        <f>+Q12-G12</f>
        <v>-45649.259999999995</v>
      </c>
    </row>
    <row r="13" spans="2:18" x14ac:dyDescent="0.2">
      <c r="B13" s="6" t="s">
        <v>17</v>
      </c>
      <c r="C13" s="38">
        <f>SUM(C9+C12)</f>
        <v>20512.29</v>
      </c>
      <c r="D13" s="7">
        <f>SUM(D9+D12)</f>
        <v>2666.6</v>
      </c>
      <c r="E13" s="7">
        <f>+E12+E9</f>
        <v>4763.58</v>
      </c>
      <c r="F13" s="7">
        <f>+F12+F9</f>
        <v>92636.32</v>
      </c>
      <c r="G13" s="7">
        <f>+G12+G9</f>
        <v>97399.9</v>
      </c>
      <c r="H13" s="7"/>
      <c r="I13" s="7"/>
      <c r="J13" s="7"/>
      <c r="K13" s="7"/>
      <c r="L13" s="7"/>
      <c r="M13" s="7"/>
      <c r="N13" s="7"/>
    </row>
    <row r="14" spans="2:18" x14ac:dyDescent="0.2">
      <c r="B14" s="6" t="s">
        <v>15</v>
      </c>
      <c r="C14" s="38"/>
      <c r="D14" s="7"/>
      <c r="E14" s="16">
        <f>E13/G13</f>
        <v>4.8907442410105147E-2</v>
      </c>
      <c r="F14" s="16">
        <f>F13/G13</f>
        <v>0.95109255758989497</v>
      </c>
      <c r="G14" s="16">
        <f>+E14+F14</f>
        <v>1.0000000000000002</v>
      </c>
      <c r="H14" s="7"/>
      <c r="I14" s="7"/>
      <c r="J14" s="7"/>
      <c r="K14" s="7"/>
      <c r="L14" s="7"/>
      <c r="M14" s="7"/>
      <c r="N14" s="7"/>
    </row>
    <row r="15" spans="2:18" x14ac:dyDescent="0.2">
      <c r="B15" s="6"/>
      <c r="C15" s="38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2:18" x14ac:dyDescent="0.2">
      <c r="B16" s="6" t="s">
        <v>18</v>
      </c>
      <c r="C16" s="89">
        <v>9932.5300000000007</v>
      </c>
      <c r="D16" s="7">
        <f>ROUND(C16*13%,2)</f>
        <v>1291.23</v>
      </c>
      <c r="E16" s="90">
        <v>1523.85</v>
      </c>
      <c r="F16" s="90">
        <f>47590.52+216.54</f>
        <v>47807.06</v>
      </c>
      <c r="G16" s="7">
        <f>SUM(E16:F16)</f>
        <v>49330.909999999996</v>
      </c>
      <c r="H16" s="7">
        <f>ROUND(D16*F18,2)</f>
        <v>1235.9000000000001</v>
      </c>
      <c r="I16" s="7">
        <f>D16-H16</f>
        <v>55.329999999999927</v>
      </c>
      <c r="J16" s="7">
        <v>0</v>
      </c>
      <c r="K16" s="7">
        <f>ROUND(F16*0.13,2)</f>
        <v>6214.92</v>
      </c>
      <c r="L16" s="7">
        <f>SUM(K16-H16-J16)</f>
        <v>4979.0200000000004</v>
      </c>
      <c r="M16" s="7"/>
      <c r="N16" s="7">
        <f>SUM(L16-M16)</f>
        <v>4979.0200000000004</v>
      </c>
      <c r="O16" s="40">
        <f>ROUND(D16-H16,2)</f>
        <v>55.33</v>
      </c>
      <c r="R16" s="38">
        <f>+Q16-G16</f>
        <v>-49330.909999999996</v>
      </c>
    </row>
    <row r="17" spans="2:18" x14ac:dyDescent="0.2">
      <c r="B17" s="6" t="s">
        <v>17</v>
      </c>
      <c r="C17" s="38">
        <f>SUM(C13+C16)</f>
        <v>30444.82</v>
      </c>
      <c r="D17" s="7">
        <f>SUM(D13+D16)</f>
        <v>3957.83</v>
      </c>
      <c r="E17" s="7">
        <f>SUM(E13+E16)</f>
        <v>6287.43</v>
      </c>
      <c r="F17" s="7">
        <f>SUM(F13+F16)</f>
        <v>140443.38</v>
      </c>
      <c r="G17" s="7">
        <f>SUM(G13+G16)</f>
        <v>146730.81</v>
      </c>
      <c r="H17" s="7"/>
      <c r="I17" s="7"/>
      <c r="J17" s="7"/>
      <c r="K17" s="7"/>
      <c r="L17" s="7"/>
      <c r="M17" s="7"/>
      <c r="N17" s="7"/>
    </row>
    <row r="18" spans="2:18" x14ac:dyDescent="0.2">
      <c r="B18" s="6" t="s">
        <v>15</v>
      </c>
      <c r="C18" s="38"/>
      <c r="D18" s="7"/>
      <c r="E18" s="16">
        <f>E17/G17</f>
        <v>4.2850100807049318E-2</v>
      </c>
      <c r="F18" s="16">
        <f>F17/G17</f>
        <v>0.95714989919295068</v>
      </c>
      <c r="G18" s="16">
        <f>+E18+F18</f>
        <v>1</v>
      </c>
      <c r="H18" s="7"/>
      <c r="I18" s="7"/>
      <c r="J18" s="7"/>
      <c r="K18" s="7"/>
      <c r="L18" s="7"/>
      <c r="M18" s="7"/>
      <c r="N18" s="7"/>
    </row>
    <row r="19" spans="2:18" x14ac:dyDescent="0.2">
      <c r="B19" s="6"/>
      <c r="C19" s="38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2:18" x14ac:dyDescent="0.2">
      <c r="B20" s="6" t="s">
        <v>19</v>
      </c>
      <c r="C20" s="89">
        <v>12168.06</v>
      </c>
      <c r="D20" s="7">
        <f>ROUND(C20*13%,2)</f>
        <v>1581.85</v>
      </c>
      <c r="E20" s="90">
        <v>3640.48</v>
      </c>
      <c r="F20" s="90">
        <f>42710.69+113.28</f>
        <v>42823.97</v>
      </c>
      <c r="G20" s="7">
        <f>SUM(E20:F20)</f>
        <v>46464.450000000004</v>
      </c>
      <c r="H20" s="7">
        <f>ROUND(D20*F22,2)</f>
        <v>1500.56</v>
      </c>
      <c r="I20" s="7">
        <f>D20-H20</f>
        <v>81.289999999999964</v>
      </c>
      <c r="J20" s="7">
        <v>0</v>
      </c>
      <c r="K20" s="7">
        <f>ROUND(F20*0.13,2)</f>
        <v>5567.12</v>
      </c>
      <c r="L20" s="7">
        <f>SUM(K20-H20-J20)</f>
        <v>4066.56</v>
      </c>
      <c r="M20" s="7"/>
      <c r="N20" s="7">
        <f>SUM(L20-M20)</f>
        <v>4066.56</v>
      </c>
      <c r="O20" s="40">
        <f>ROUND(D20-H20,2)</f>
        <v>81.290000000000006</v>
      </c>
      <c r="R20" s="38">
        <f>+Q20-G20</f>
        <v>-46464.450000000004</v>
      </c>
    </row>
    <row r="21" spans="2:18" x14ac:dyDescent="0.2">
      <c r="B21" s="6" t="s">
        <v>17</v>
      </c>
      <c r="C21" s="38">
        <f>SUM(C17+C20)</f>
        <v>42612.88</v>
      </c>
      <c r="D21" s="7">
        <f>SUM(D17+D20)</f>
        <v>5539.68</v>
      </c>
      <c r="E21" s="7">
        <f>SUM(E17+E20)</f>
        <v>9927.91</v>
      </c>
      <c r="F21" s="7">
        <f>SUM(F17+F20)</f>
        <v>183267.35</v>
      </c>
      <c r="G21" s="7">
        <f>SUM(G17+G20)</f>
        <v>193195.26</v>
      </c>
      <c r="H21" s="7"/>
      <c r="I21" s="7"/>
      <c r="J21" s="7"/>
      <c r="K21" s="7"/>
      <c r="L21" s="7"/>
      <c r="M21" s="7"/>
      <c r="N21" s="7"/>
    </row>
    <row r="22" spans="2:18" x14ac:dyDescent="0.2">
      <c r="B22" s="6" t="s">
        <v>15</v>
      </c>
      <c r="C22" s="38"/>
      <c r="D22" s="7"/>
      <c r="E22" s="16">
        <f>E21/G21</f>
        <v>5.1387958483039384E-2</v>
      </c>
      <c r="F22" s="16">
        <f>F21/G21</f>
        <v>0.94861204151696055</v>
      </c>
      <c r="G22" s="16">
        <f>+E22+F22</f>
        <v>0.99999999999999989</v>
      </c>
      <c r="H22" s="7"/>
      <c r="I22" s="7"/>
      <c r="J22" s="7"/>
      <c r="K22" s="7"/>
      <c r="L22" s="7"/>
      <c r="M22" s="7"/>
      <c r="N22" s="7"/>
    </row>
    <row r="23" spans="2:18" x14ac:dyDescent="0.2">
      <c r="B23" s="6"/>
      <c r="C23" s="38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2:18" x14ac:dyDescent="0.2">
      <c r="B24" s="6" t="s">
        <v>20</v>
      </c>
      <c r="C24" s="89">
        <v>10895.75</v>
      </c>
      <c r="D24" s="7">
        <f>ROUND(C24*13%,2)</f>
        <v>1416.45</v>
      </c>
      <c r="E24" s="90">
        <v>1297.74</v>
      </c>
      <c r="F24" s="90">
        <f>44141.57+201.41</f>
        <v>44342.98</v>
      </c>
      <c r="G24" s="7">
        <f>SUM(E24:F24)</f>
        <v>45640.72</v>
      </c>
      <c r="H24" s="7">
        <f>ROUND(D24*F26,2)</f>
        <v>1349.87</v>
      </c>
      <c r="I24" s="7">
        <f>D24-H24</f>
        <v>66.580000000000155</v>
      </c>
      <c r="J24" s="7">
        <v>0</v>
      </c>
      <c r="K24" s="7">
        <f>ROUND(F24*0.13,2)</f>
        <v>5764.59</v>
      </c>
      <c r="L24" s="7">
        <f>SUM(K24-H24-J24)</f>
        <v>4414.72</v>
      </c>
      <c r="M24" s="7"/>
      <c r="N24" s="7">
        <f>SUM(L24-M24)</f>
        <v>4414.72</v>
      </c>
      <c r="O24" s="40">
        <f>ROUND(D24-H24,2)</f>
        <v>66.58</v>
      </c>
      <c r="R24" s="38">
        <f>+Q24-G24</f>
        <v>-45640.72</v>
      </c>
    </row>
    <row r="25" spans="2:18" x14ac:dyDescent="0.2">
      <c r="B25" s="6" t="s">
        <v>17</v>
      </c>
      <c r="C25" s="38">
        <f>SUM(C21+C24)</f>
        <v>53508.63</v>
      </c>
      <c r="D25" s="7">
        <f>SUM(D21+D24)</f>
        <v>6956.13</v>
      </c>
      <c r="E25" s="7">
        <f>SUM(E21+E24)</f>
        <v>11225.65</v>
      </c>
      <c r="F25" s="7">
        <f>SUM(F21+F24)</f>
        <v>227610.33000000002</v>
      </c>
      <c r="G25" s="7">
        <f>SUM(G21+G24)</f>
        <v>238835.98</v>
      </c>
      <c r="H25" s="7"/>
      <c r="I25" s="7"/>
      <c r="J25" s="7"/>
      <c r="K25" s="7"/>
      <c r="L25" s="7"/>
      <c r="M25" s="7"/>
      <c r="N25" s="7"/>
    </row>
    <row r="26" spans="2:18" x14ac:dyDescent="0.2">
      <c r="B26" s="6" t="s">
        <v>15</v>
      </c>
      <c r="C26" s="38"/>
      <c r="D26" s="7"/>
      <c r="E26" s="16">
        <f>E25/G25</f>
        <v>4.7001502872389661E-2</v>
      </c>
      <c r="F26" s="16">
        <f>F25/G25</f>
        <v>0.95299849712761031</v>
      </c>
      <c r="G26" s="16">
        <f>+E26+F26</f>
        <v>1</v>
      </c>
      <c r="H26" s="7"/>
      <c r="I26" s="7"/>
      <c r="J26" s="7"/>
      <c r="K26" s="7"/>
      <c r="L26" s="7"/>
      <c r="M26" s="7"/>
      <c r="N26" s="7"/>
    </row>
    <row r="27" spans="2:18" x14ac:dyDescent="0.2">
      <c r="B27" s="6"/>
      <c r="C27" s="38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2:18" x14ac:dyDescent="0.2">
      <c r="B28" s="6" t="s">
        <v>21</v>
      </c>
      <c r="C28" s="89">
        <v>10473.969999999999</v>
      </c>
      <c r="D28" s="7">
        <f>ROUND(C28*13%,2)</f>
        <v>1361.62</v>
      </c>
      <c r="E28" s="90">
        <v>1326.8</v>
      </c>
      <c r="F28" s="90">
        <f>44050.4+270.7</f>
        <v>44321.1</v>
      </c>
      <c r="G28" s="7">
        <f>SUM(E28:F28)</f>
        <v>45647.9</v>
      </c>
      <c r="H28" s="7">
        <f>ROUND(D28*F30,2)</f>
        <v>1301.54</v>
      </c>
      <c r="I28" s="7">
        <f>D28-H28</f>
        <v>60.079999999999927</v>
      </c>
      <c r="J28" s="7">
        <v>0</v>
      </c>
      <c r="K28" s="7">
        <f>ROUND(F28*0.13,2)</f>
        <v>5761.74</v>
      </c>
      <c r="L28" s="7">
        <f>SUM(K28-H28-J28)</f>
        <v>4460.2</v>
      </c>
      <c r="M28" s="7"/>
      <c r="N28" s="7">
        <f>SUM(L28-M28)</f>
        <v>4460.2</v>
      </c>
      <c r="O28" s="40">
        <f>ROUND(D28-H28,2)</f>
        <v>60.08</v>
      </c>
      <c r="R28" s="38">
        <f>+Q28-G28</f>
        <v>-45647.9</v>
      </c>
    </row>
    <row r="29" spans="2:18" x14ac:dyDescent="0.2">
      <c r="B29" s="6" t="s">
        <v>17</v>
      </c>
      <c r="C29" s="38">
        <f>SUM(C25+C28)</f>
        <v>63982.6</v>
      </c>
      <c r="D29" s="7">
        <f>SUM(D25+D28)</f>
        <v>8317.75</v>
      </c>
      <c r="E29" s="7">
        <f>SUM(E25+E28)</f>
        <v>12552.449999999999</v>
      </c>
      <c r="F29" s="7">
        <f>SUM(F25+F28)</f>
        <v>271931.43</v>
      </c>
      <c r="G29" s="7">
        <f>SUM(G25+G28)</f>
        <v>284483.88</v>
      </c>
      <c r="H29" s="7"/>
      <c r="I29" s="7"/>
      <c r="J29" s="7"/>
      <c r="K29" s="7"/>
      <c r="L29" s="9"/>
      <c r="M29" s="7"/>
      <c r="N29" s="10"/>
    </row>
    <row r="30" spans="2:18" x14ac:dyDescent="0.2">
      <c r="B30" s="6" t="s">
        <v>15</v>
      </c>
      <c r="C30" s="38"/>
      <c r="D30" s="7"/>
      <c r="E30" s="16">
        <f>E29/G29</f>
        <v>4.4123589709195471E-2</v>
      </c>
      <c r="F30" s="16">
        <f>F29/G29</f>
        <v>0.9558764102908045</v>
      </c>
      <c r="G30" s="16">
        <f>+E30+F30</f>
        <v>1</v>
      </c>
      <c r="H30" s="7"/>
      <c r="I30" s="7"/>
      <c r="J30" s="7"/>
      <c r="K30" s="7"/>
      <c r="L30" s="9"/>
      <c r="M30" s="7"/>
      <c r="N30" s="10"/>
    </row>
    <row r="31" spans="2:18" x14ac:dyDescent="0.2">
      <c r="B31" s="6"/>
      <c r="C31" s="38"/>
      <c r="D31" s="7"/>
      <c r="E31" s="7"/>
      <c r="F31" s="7"/>
      <c r="G31" s="7"/>
      <c r="H31" s="7"/>
      <c r="I31" s="7"/>
      <c r="J31" s="7"/>
      <c r="K31" s="7"/>
      <c r="L31" s="9"/>
      <c r="M31" s="7"/>
      <c r="N31" s="10"/>
    </row>
    <row r="32" spans="2:18" x14ac:dyDescent="0.2">
      <c r="B32" s="6" t="s">
        <v>22</v>
      </c>
      <c r="C32" s="89">
        <v>14839.14</v>
      </c>
      <c r="D32" s="7">
        <f>ROUND(C32*13%,2)</f>
        <v>1929.09</v>
      </c>
      <c r="E32" s="90">
        <v>1290.95</v>
      </c>
      <c r="F32" s="90">
        <f>51000.86+484.1</f>
        <v>51484.959999999999</v>
      </c>
      <c r="G32" s="7">
        <f>SUM(E32:F32)</f>
        <v>52775.909999999996</v>
      </c>
      <c r="H32" s="7">
        <f>ROUND(D32*F34,2)</f>
        <v>1849.91</v>
      </c>
      <c r="I32" s="7">
        <f>D32-H32</f>
        <v>79.179999999999836</v>
      </c>
      <c r="J32" s="7">
        <v>5.41</v>
      </c>
      <c r="K32" s="7">
        <f>ROUND(F32*0.13,2)</f>
        <v>6693.04</v>
      </c>
      <c r="L32" s="7">
        <f>SUM(K32-H32-J32)</f>
        <v>4837.72</v>
      </c>
      <c r="M32" s="7"/>
      <c r="N32" s="7">
        <f>SUM(L32-M32)</f>
        <v>4837.72</v>
      </c>
      <c r="O32" s="40">
        <f>ROUND(D32-H32,2)</f>
        <v>79.180000000000007</v>
      </c>
      <c r="R32" s="38">
        <f>+Q32-G32</f>
        <v>-52775.909999999996</v>
      </c>
    </row>
    <row r="33" spans="2:18" x14ac:dyDescent="0.2">
      <c r="B33" s="6" t="s">
        <v>17</v>
      </c>
      <c r="C33" s="38">
        <f>SUM(C29+C32)</f>
        <v>78821.739999999991</v>
      </c>
      <c r="D33" s="7">
        <f>SUM(D29+D32)</f>
        <v>10246.84</v>
      </c>
      <c r="E33" s="7">
        <f>SUM(E29+E32)</f>
        <v>13843.4</v>
      </c>
      <c r="F33" s="7">
        <f>SUM(F29+F32)</f>
        <v>323416.39</v>
      </c>
      <c r="G33" s="7">
        <f>SUM(G29+G32)</f>
        <v>337259.79</v>
      </c>
      <c r="H33" s="7"/>
      <c r="I33" s="7"/>
      <c r="J33" s="7"/>
      <c r="K33" s="7"/>
      <c r="L33" s="9"/>
      <c r="M33" s="7"/>
      <c r="N33" s="10"/>
    </row>
    <row r="34" spans="2:18" x14ac:dyDescent="0.2">
      <c r="B34" s="6" t="s">
        <v>15</v>
      </c>
      <c r="C34" s="38"/>
      <c r="D34" s="7"/>
      <c r="E34" s="16">
        <f>E33/G33</f>
        <v>4.1046695783093501E-2</v>
      </c>
      <c r="F34" s="16">
        <f>F33/G33</f>
        <v>0.95895330421690661</v>
      </c>
      <c r="G34" s="16">
        <f>+E34+F34</f>
        <v>1</v>
      </c>
      <c r="H34" s="7"/>
      <c r="I34" s="7"/>
      <c r="J34" s="7"/>
      <c r="K34" s="7"/>
      <c r="L34" s="9"/>
      <c r="M34" s="7"/>
      <c r="N34" s="10"/>
    </row>
    <row r="35" spans="2:18" x14ac:dyDescent="0.2">
      <c r="B35" s="6"/>
      <c r="C35" s="38"/>
      <c r="D35" s="7"/>
      <c r="E35" s="7"/>
      <c r="F35" s="7"/>
      <c r="G35" s="7"/>
      <c r="H35" s="7"/>
      <c r="I35" s="7"/>
      <c r="J35" s="7"/>
      <c r="K35" s="7"/>
      <c r="L35" s="9"/>
      <c r="M35" s="7"/>
      <c r="N35" s="10"/>
    </row>
    <row r="36" spans="2:18" x14ac:dyDescent="0.2">
      <c r="B36" s="6" t="s">
        <v>23</v>
      </c>
      <c r="C36" s="89">
        <v>8143.6</v>
      </c>
      <c r="D36" s="7">
        <f>ROUND(C36*13%,2)</f>
        <v>1058.67</v>
      </c>
      <c r="E36" s="90">
        <v>482.37</v>
      </c>
      <c r="F36" s="90">
        <f>44266.36+470.87</f>
        <v>44737.23</v>
      </c>
      <c r="G36" s="7">
        <f>SUM(E36:F36)</f>
        <v>45219.600000000006</v>
      </c>
      <c r="H36" s="7">
        <f>ROUND(D36*F38,2)</f>
        <v>1019.02</v>
      </c>
      <c r="I36" s="7">
        <f>D36-H36</f>
        <v>39.650000000000091</v>
      </c>
      <c r="J36" s="7">
        <v>0</v>
      </c>
      <c r="K36" s="7">
        <f>ROUND(F36*0.13,2)</f>
        <v>5815.84</v>
      </c>
      <c r="L36" s="7">
        <f>SUM(K36-H36-J36)</f>
        <v>4796.82</v>
      </c>
      <c r="M36" s="7"/>
      <c r="N36" s="7">
        <f>SUM(L36-M36)</f>
        <v>4796.82</v>
      </c>
      <c r="O36" s="40">
        <f>ROUND(D36-H36,2)</f>
        <v>39.65</v>
      </c>
      <c r="R36" s="38">
        <f>+Q36-G36</f>
        <v>-45219.600000000006</v>
      </c>
    </row>
    <row r="37" spans="2:18" x14ac:dyDescent="0.2">
      <c r="B37" s="6" t="s">
        <v>17</v>
      </c>
      <c r="C37" s="38">
        <f>SUM(C33+C36)</f>
        <v>86965.34</v>
      </c>
      <c r="D37" s="7">
        <f>SUM(D33+D36)</f>
        <v>11305.51</v>
      </c>
      <c r="E37" s="7">
        <f>SUM(E33+E36)</f>
        <v>14325.77</v>
      </c>
      <c r="F37" s="7">
        <f>SUM(F33+F36)</f>
        <v>368153.62</v>
      </c>
      <c r="G37" s="7">
        <f>SUM(G33+G36)</f>
        <v>382479.39</v>
      </c>
      <c r="H37" s="7"/>
      <c r="I37" s="7"/>
      <c r="J37" s="7"/>
      <c r="K37" s="7"/>
      <c r="L37" s="9"/>
      <c r="M37" s="7"/>
      <c r="N37" s="10"/>
    </row>
    <row r="38" spans="2:18" x14ac:dyDescent="0.2">
      <c r="B38" s="6" t="s">
        <v>15</v>
      </c>
      <c r="C38" s="38"/>
      <c r="D38" s="7"/>
      <c r="E38" s="16">
        <f>E37/G37</f>
        <v>3.7455011628208253E-2</v>
      </c>
      <c r="F38" s="16">
        <f>F37/G37</f>
        <v>0.9625449883717917</v>
      </c>
      <c r="G38" s="16">
        <f>+E38+F38</f>
        <v>1</v>
      </c>
      <c r="H38" s="7"/>
      <c r="I38" s="7"/>
      <c r="J38" s="7"/>
      <c r="K38" s="7"/>
      <c r="L38" s="9"/>
      <c r="M38" s="7"/>
      <c r="N38" s="10"/>
    </row>
    <row r="39" spans="2:18" x14ac:dyDescent="0.2">
      <c r="B39" s="6"/>
      <c r="C39" s="38"/>
      <c r="D39" s="7"/>
      <c r="E39" s="7"/>
      <c r="F39" s="7"/>
      <c r="G39" s="7"/>
      <c r="H39" s="7"/>
      <c r="I39" s="7"/>
      <c r="J39" s="7"/>
      <c r="K39" s="7"/>
      <c r="L39" s="9"/>
      <c r="M39" s="7"/>
      <c r="N39" s="10"/>
    </row>
    <row r="40" spans="2:18" x14ac:dyDescent="0.2">
      <c r="B40" s="6" t="s">
        <v>24</v>
      </c>
      <c r="C40" s="89">
        <v>10501.05</v>
      </c>
      <c r="D40" s="7">
        <f>ROUND(C40*13%,2)</f>
        <v>1365.14</v>
      </c>
      <c r="E40" s="90">
        <v>790.11</v>
      </c>
      <c r="F40" s="90">
        <f>47270.44+339.03</f>
        <v>47609.47</v>
      </c>
      <c r="G40" s="7">
        <f>SUM(E40:F40)</f>
        <v>48399.58</v>
      </c>
      <c r="H40" s="7">
        <f>ROUND(D40*F42,2)</f>
        <v>1317.25</v>
      </c>
      <c r="I40" s="7">
        <f>D40-H40</f>
        <v>47.8900000000001</v>
      </c>
      <c r="J40" s="7">
        <v>3.22</v>
      </c>
      <c r="K40" s="7">
        <f>ROUND(F40*0.13,2)</f>
        <v>6189.23</v>
      </c>
      <c r="L40" s="7">
        <f>SUM(K40-H40-J40)</f>
        <v>4868.7599999999993</v>
      </c>
      <c r="M40" s="7"/>
      <c r="N40" s="7">
        <f>SUM(L40-M40)</f>
        <v>4868.7599999999993</v>
      </c>
      <c r="O40" s="40">
        <f>ROUND(D40-H40,2)</f>
        <v>47.89</v>
      </c>
      <c r="R40" s="38">
        <f>+Q40-G40</f>
        <v>-48399.58</v>
      </c>
    </row>
    <row r="41" spans="2:18" x14ac:dyDescent="0.2">
      <c r="B41" s="6" t="s">
        <v>17</v>
      </c>
      <c r="C41" s="38">
        <f>SUM(C37+C40)</f>
        <v>97466.39</v>
      </c>
      <c r="D41" s="7">
        <f>SUM(D37+D40)</f>
        <v>12670.65</v>
      </c>
      <c r="E41" s="7">
        <f>SUM(E37+E40)</f>
        <v>15115.880000000001</v>
      </c>
      <c r="F41" s="7">
        <f>SUM(F37+F40)</f>
        <v>415763.08999999997</v>
      </c>
      <c r="G41" s="7">
        <f>SUM(G37+G40)</f>
        <v>430878.97000000003</v>
      </c>
      <c r="H41" s="7"/>
      <c r="I41" s="7"/>
      <c r="J41" s="7"/>
      <c r="K41" s="7"/>
      <c r="L41" s="9"/>
      <c r="M41" s="7"/>
      <c r="N41" s="10"/>
    </row>
    <row r="42" spans="2:18" x14ac:dyDescent="0.2">
      <c r="B42" s="6" t="s">
        <v>15</v>
      </c>
      <c r="C42" s="38"/>
      <c r="D42" s="7"/>
      <c r="E42" s="16">
        <f>E41/G41</f>
        <v>3.5081498639861673E-2</v>
      </c>
      <c r="F42" s="16">
        <f>F41/G41</f>
        <v>0.96491850136013813</v>
      </c>
      <c r="G42" s="16">
        <f>+E42+F42</f>
        <v>0.99999999999999978</v>
      </c>
      <c r="H42" s="7"/>
      <c r="I42" s="7"/>
      <c r="J42" s="7"/>
      <c r="K42" s="7"/>
      <c r="L42" s="9"/>
      <c r="M42" s="7"/>
      <c r="N42" s="10"/>
    </row>
    <row r="43" spans="2:18" x14ac:dyDescent="0.2">
      <c r="B43" s="6"/>
      <c r="C43" s="38"/>
      <c r="D43" s="7"/>
      <c r="E43" s="7"/>
      <c r="F43" s="7"/>
      <c r="G43" s="7"/>
      <c r="H43" s="7"/>
      <c r="I43" s="7"/>
      <c r="J43" s="7"/>
      <c r="K43" s="7"/>
      <c r="L43" s="9"/>
      <c r="M43" s="7"/>
      <c r="N43" s="10"/>
    </row>
    <row r="44" spans="2:18" x14ac:dyDescent="0.2">
      <c r="B44" s="6" t="s">
        <v>25</v>
      </c>
      <c r="C44" s="89">
        <v>0</v>
      </c>
      <c r="D44" s="7">
        <f>ROUND(C44*13%,2)</f>
        <v>0</v>
      </c>
      <c r="E44" s="90">
        <v>0</v>
      </c>
      <c r="F44" s="90">
        <v>0</v>
      </c>
      <c r="G44" s="7">
        <f>SUM(E44:F44)</f>
        <v>0</v>
      </c>
      <c r="H44" s="7">
        <f>ROUND(D44*F46,2)</f>
        <v>0</v>
      </c>
      <c r="I44" s="7">
        <f>D44-H44</f>
        <v>0</v>
      </c>
      <c r="J44" s="7">
        <v>0</v>
      </c>
      <c r="K44" s="7">
        <f>ROUND(F44*0.13,2)</f>
        <v>0</v>
      </c>
      <c r="L44" s="7">
        <f>SUM(K44-H44-J44)</f>
        <v>0</v>
      </c>
      <c r="M44" s="7"/>
      <c r="N44" s="7">
        <f>SUM(L44-M44)</f>
        <v>0</v>
      </c>
      <c r="O44" s="40">
        <f>ROUND(D44-H44,2)</f>
        <v>0</v>
      </c>
      <c r="R44" s="38">
        <f>+Q44-G44</f>
        <v>0</v>
      </c>
    </row>
    <row r="45" spans="2:18" x14ac:dyDescent="0.2">
      <c r="B45" s="6" t="s">
        <v>17</v>
      </c>
      <c r="C45" s="38">
        <f>SUM(C41+C44)</f>
        <v>97466.39</v>
      </c>
      <c r="D45" s="7">
        <f>SUM(D41+D44)</f>
        <v>12670.65</v>
      </c>
      <c r="E45" s="7">
        <f>SUM(E41+E44)</f>
        <v>15115.880000000001</v>
      </c>
      <c r="F45" s="7">
        <f>SUM(F41+F44)</f>
        <v>415763.08999999997</v>
      </c>
      <c r="G45" s="7">
        <f>SUM(G41+G44)</f>
        <v>430878.97000000003</v>
      </c>
      <c r="H45" s="7"/>
      <c r="I45" s="7"/>
      <c r="J45" s="7"/>
      <c r="K45" s="7"/>
      <c r="L45" s="9"/>
      <c r="M45" s="7"/>
      <c r="N45" s="10"/>
    </row>
    <row r="46" spans="2:18" x14ac:dyDescent="0.2">
      <c r="B46" s="6" t="s">
        <v>15</v>
      </c>
      <c r="C46" s="38"/>
      <c r="D46" s="7"/>
      <c r="E46" s="16">
        <f>E45/G45</f>
        <v>3.5081498639861673E-2</v>
      </c>
      <c r="F46" s="16">
        <f>F45/G45</f>
        <v>0.96491850136013813</v>
      </c>
      <c r="G46" s="16">
        <f>+E46+F46</f>
        <v>0.99999999999999978</v>
      </c>
      <c r="H46" s="7"/>
      <c r="I46" s="7"/>
      <c r="J46" s="7"/>
      <c r="K46" s="7"/>
      <c r="L46" s="9"/>
      <c r="M46" s="7"/>
      <c r="N46" s="10"/>
    </row>
    <row r="47" spans="2:18" x14ac:dyDescent="0.2">
      <c r="B47" s="6"/>
      <c r="C47" s="38"/>
      <c r="D47" s="7"/>
      <c r="E47" s="7"/>
      <c r="F47" s="7"/>
      <c r="G47" s="7"/>
      <c r="H47" s="7"/>
      <c r="I47" s="7"/>
      <c r="J47" s="7"/>
      <c r="K47" s="7"/>
      <c r="L47" s="9"/>
      <c r="M47" s="7"/>
      <c r="N47" s="10"/>
    </row>
    <row r="48" spans="2:18" x14ac:dyDescent="0.2">
      <c r="B48" s="6" t="s">
        <v>26</v>
      </c>
      <c r="C48" s="89">
        <v>0</v>
      </c>
      <c r="D48" s="7">
        <f>ROUND(C48*13%,2)</f>
        <v>0</v>
      </c>
      <c r="E48" s="90">
        <v>0</v>
      </c>
      <c r="F48" s="90">
        <v>0</v>
      </c>
      <c r="G48" s="7">
        <f>SUM(E48:F48)</f>
        <v>0</v>
      </c>
      <c r="H48" s="7">
        <f>ROUND(D48*F50,2)</f>
        <v>0</v>
      </c>
      <c r="I48" s="7">
        <f>D48-H48</f>
        <v>0</v>
      </c>
      <c r="J48" s="7">
        <v>0</v>
      </c>
      <c r="K48" s="7">
        <f>ROUND(F48*0.13,2)</f>
        <v>0</v>
      </c>
      <c r="L48" s="7">
        <f>SUM(K48-H48-J48)</f>
        <v>0</v>
      </c>
      <c r="M48" s="7"/>
      <c r="N48" s="7">
        <f>SUM(L48-M48)</f>
        <v>0</v>
      </c>
      <c r="O48" s="40">
        <f>ROUND(D48-H48,2)</f>
        <v>0</v>
      </c>
      <c r="R48" s="38">
        <f>+Q48-G48</f>
        <v>0</v>
      </c>
    </row>
    <row r="49" spans="2:19" x14ac:dyDescent="0.2">
      <c r="B49" s="6" t="s">
        <v>17</v>
      </c>
      <c r="C49" s="38">
        <f>SUM(C45+C48)</f>
        <v>97466.39</v>
      </c>
      <c r="D49" s="7">
        <f>SUM(D45+D48)</f>
        <v>12670.65</v>
      </c>
      <c r="E49" s="7">
        <f>SUM(E45+E48)</f>
        <v>15115.880000000001</v>
      </c>
      <c r="F49" s="7">
        <f>SUM(F45+F48)</f>
        <v>415763.08999999997</v>
      </c>
      <c r="G49" s="7">
        <f>SUM(G45+G48)</f>
        <v>430878.97000000003</v>
      </c>
      <c r="H49" s="7"/>
      <c r="I49" s="7"/>
      <c r="J49" s="7"/>
      <c r="K49" s="7"/>
      <c r="L49" s="9"/>
      <c r="M49" s="7"/>
      <c r="N49" s="10"/>
    </row>
    <row r="50" spans="2:19" x14ac:dyDescent="0.2">
      <c r="B50" s="6" t="s">
        <v>15</v>
      </c>
      <c r="C50" s="38"/>
      <c r="D50" s="7"/>
      <c r="E50" s="16">
        <f>E49/G49</f>
        <v>3.5081498639861673E-2</v>
      </c>
      <c r="F50" s="16">
        <f>F49/G49</f>
        <v>0.96491850136013813</v>
      </c>
      <c r="G50" s="16">
        <f>+E50+F50</f>
        <v>0.99999999999999978</v>
      </c>
      <c r="H50" s="7"/>
      <c r="I50" s="7"/>
      <c r="J50" s="7"/>
      <c r="K50" s="7"/>
      <c r="L50" s="9"/>
      <c r="M50" s="7"/>
      <c r="N50" s="10"/>
    </row>
    <row r="51" spans="2:19" x14ac:dyDescent="0.2">
      <c r="B51" s="6"/>
      <c r="C51" s="38"/>
      <c r="D51" s="7"/>
      <c r="E51" s="7"/>
      <c r="F51" s="7"/>
      <c r="G51" s="7"/>
      <c r="H51" s="7"/>
      <c r="I51" s="7"/>
      <c r="J51" s="7"/>
      <c r="K51" s="7"/>
      <c r="L51" s="9"/>
      <c r="M51" s="7"/>
      <c r="N51" s="10"/>
    </row>
    <row r="52" spans="2:19" x14ac:dyDescent="0.2">
      <c r="B52" s="6" t="s">
        <v>27</v>
      </c>
      <c r="C52" s="89">
        <v>0</v>
      </c>
      <c r="D52" s="7">
        <f>ROUND(C52*13%,2)</f>
        <v>0</v>
      </c>
      <c r="E52" s="90">
        <v>0</v>
      </c>
      <c r="F52" s="90">
        <v>0</v>
      </c>
      <c r="G52" s="7">
        <f>SUM(E52:F52)</f>
        <v>0</v>
      </c>
      <c r="H52" s="7">
        <f>ROUND(D52*F54,2)</f>
        <v>0</v>
      </c>
      <c r="I52" s="7">
        <f>D52-H52</f>
        <v>0</v>
      </c>
      <c r="J52" s="7">
        <v>0</v>
      </c>
      <c r="K52" s="7">
        <f>ROUND(F52*0.13,2)</f>
        <v>0</v>
      </c>
      <c r="L52" s="7">
        <f>SUM(K52-H52-J52)</f>
        <v>0</v>
      </c>
      <c r="M52" s="7"/>
      <c r="N52" s="7">
        <f>SUM(L52-M52)</f>
        <v>0</v>
      </c>
      <c r="O52" s="40">
        <f>ROUND(D52-H52,2)</f>
        <v>0</v>
      </c>
      <c r="R52" s="38">
        <f>+Q52-G52</f>
        <v>0</v>
      </c>
      <c r="S52" s="45"/>
    </row>
    <row r="53" spans="2:19" x14ac:dyDescent="0.2">
      <c r="B53" s="6" t="s">
        <v>17</v>
      </c>
      <c r="C53" s="38">
        <f>SUM(C49+C52)</f>
        <v>97466.39</v>
      </c>
      <c r="D53" s="7">
        <f>SUM(D49+D52)</f>
        <v>12670.65</v>
      </c>
      <c r="E53" s="7">
        <f>SUM(E49+E52)</f>
        <v>15115.880000000001</v>
      </c>
      <c r="F53" s="7">
        <f>SUM(F49+F52)</f>
        <v>415763.08999999997</v>
      </c>
      <c r="G53" s="7">
        <f>SUM(G49+G52)</f>
        <v>430878.97000000003</v>
      </c>
      <c r="H53" s="7"/>
      <c r="I53" s="7"/>
      <c r="J53" s="7"/>
      <c r="K53" s="7"/>
      <c r="L53" s="9"/>
      <c r="M53" s="7"/>
      <c r="N53" s="11"/>
    </row>
    <row r="54" spans="2:19" x14ac:dyDescent="0.2">
      <c r="B54" s="6" t="s">
        <v>15</v>
      </c>
      <c r="C54" s="38"/>
      <c r="D54" s="7"/>
      <c r="E54" s="16">
        <f>E53/G53</f>
        <v>3.5081498639861673E-2</v>
      </c>
      <c r="F54" s="16">
        <f>F53/G53</f>
        <v>0.96491850136013813</v>
      </c>
      <c r="G54" s="16">
        <f>+E54+F54</f>
        <v>0.99999999999999978</v>
      </c>
      <c r="H54" s="7"/>
      <c r="I54" s="7"/>
      <c r="J54" s="7"/>
      <c r="K54" s="7"/>
      <c r="L54" s="9"/>
      <c r="M54" s="11"/>
      <c r="N54" s="11"/>
    </row>
    <row r="55" spans="2:19" ht="13.5" thickBot="1" x14ac:dyDescent="0.25">
      <c r="B55" s="6"/>
      <c r="C55" s="38"/>
      <c r="D55" s="7"/>
      <c r="E55" s="7"/>
      <c r="F55" s="7"/>
      <c r="G55" s="7"/>
      <c r="H55" s="7"/>
      <c r="I55" s="7"/>
      <c r="J55" s="7"/>
      <c r="K55" s="7"/>
      <c r="L55" s="13"/>
      <c r="M55" s="14"/>
      <c r="N55" s="14"/>
    </row>
    <row r="56" spans="2:19" ht="13.5" thickBot="1" x14ac:dyDescent="0.25">
      <c r="B56" s="15" t="s">
        <v>13</v>
      </c>
      <c r="C56" s="38">
        <f>SUM(C53)</f>
        <v>97466.39</v>
      </c>
      <c r="D56" s="7">
        <f>SUM(D53)</f>
        <v>12670.65</v>
      </c>
      <c r="E56" s="7">
        <f>SUM(E53)</f>
        <v>15115.880000000001</v>
      </c>
      <c r="F56" s="7">
        <f>SUM(F53)</f>
        <v>415763.08999999997</v>
      </c>
      <c r="G56" s="7">
        <f>SUM(G53)</f>
        <v>430878.97000000003</v>
      </c>
      <c r="H56" s="7">
        <f>SUM(H8:H55)</f>
        <v>12105.640000000001</v>
      </c>
      <c r="I56" s="7">
        <f>SUM(I8:I55)</f>
        <v>565.01</v>
      </c>
      <c r="J56" s="7">
        <f t="shared" ref="J56:O56" si="0">SUM(J8:J55)</f>
        <v>1102.45</v>
      </c>
      <c r="K56" s="7">
        <f t="shared" si="0"/>
        <v>54049.2</v>
      </c>
      <c r="L56" s="7">
        <f t="shared" si="0"/>
        <v>40841.110000000008</v>
      </c>
      <c r="M56" s="7">
        <f t="shared" si="0"/>
        <v>0</v>
      </c>
      <c r="N56" s="7">
        <f t="shared" si="0"/>
        <v>40841.110000000008</v>
      </c>
      <c r="O56" s="44">
        <f t="shared" si="0"/>
        <v>565.01</v>
      </c>
      <c r="Q56" s="48">
        <f>SUM(Q8:Q55)</f>
        <v>0</v>
      </c>
      <c r="R56" s="38">
        <f>+Q56-G56</f>
        <v>-430878.97000000003</v>
      </c>
    </row>
    <row r="57" spans="2:19" x14ac:dyDescent="0.2">
      <c r="B57" s="6" t="s">
        <v>15</v>
      </c>
      <c r="C57" s="39"/>
      <c r="D57" s="7"/>
      <c r="E57" s="49">
        <f>ROUND(E56/G56,4)</f>
        <v>3.5099999999999999E-2</v>
      </c>
      <c r="F57" s="49">
        <f>ROUND(F56/G56,4)</f>
        <v>0.96489999999999998</v>
      </c>
      <c r="G57" s="49">
        <f>+G56/G56</f>
        <v>1</v>
      </c>
      <c r="H57" s="7"/>
      <c r="I57" s="7"/>
      <c r="J57" s="7"/>
      <c r="K57" s="7"/>
      <c r="L57" s="8"/>
      <c r="M57" s="8"/>
      <c r="N57" s="11"/>
    </row>
    <row r="58" spans="2:19" x14ac:dyDescent="0.2">
      <c r="B58" s="15" t="s">
        <v>28</v>
      </c>
      <c r="C58" s="37"/>
      <c r="D58" s="7"/>
      <c r="E58" s="49">
        <f>F57</f>
        <v>0.96489999999999998</v>
      </c>
      <c r="F58" s="7" t="s">
        <v>29</v>
      </c>
      <c r="G58" s="7">
        <f>D56</f>
        <v>12670.65</v>
      </c>
      <c r="H58" s="7">
        <f>ROUND(D56*F57,2)</f>
        <v>12225.91</v>
      </c>
      <c r="I58" s="7">
        <f>ROUND(D56*E57,2)</f>
        <v>444.74</v>
      </c>
      <c r="J58" s="7"/>
      <c r="K58" s="7"/>
      <c r="L58" s="3"/>
      <c r="M58" s="3"/>
      <c r="N58" s="3"/>
    </row>
    <row r="59" spans="2:19" x14ac:dyDescent="0.2">
      <c r="B59" s="15" t="s">
        <v>30</v>
      </c>
      <c r="C59" s="37"/>
      <c r="D59" s="3"/>
      <c r="E59" s="3"/>
      <c r="F59" s="3"/>
      <c r="G59" s="3"/>
      <c r="H59" s="3">
        <f>SUM(H56-H58)</f>
        <v>-120.26999999999862</v>
      </c>
      <c r="I59" s="3">
        <f>SUM(I56-I58)</f>
        <v>120.26999999999998</v>
      </c>
      <c r="J59" s="8"/>
      <c r="K59" s="3"/>
      <c r="L59" s="3"/>
      <c r="M59" s="3"/>
      <c r="N59" s="3"/>
    </row>
    <row r="60" spans="2:19" ht="13.5" thickBot="1" x14ac:dyDescent="0.25">
      <c r="B60" s="17"/>
      <c r="C60" s="41"/>
      <c r="D60" s="12"/>
      <c r="E60" s="12"/>
      <c r="F60" s="12"/>
      <c r="G60" s="12"/>
      <c r="H60" s="12"/>
      <c r="I60" s="12"/>
      <c r="J60" s="12"/>
      <c r="K60" s="12"/>
      <c r="L60" s="12"/>
      <c r="M60" s="18"/>
      <c r="N60" s="18"/>
    </row>
    <row r="61" spans="2:19" x14ac:dyDescent="0.2">
      <c r="B61" s="19"/>
      <c r="C61" s="20"/>
      <c r="D61" s="20"/>
      <c r="E61" s="20"/>
      <c r="F61" s="20"/>
      <c r="G61" s="20"/>
      <c r="H61" s="20"/>
      <c r="I61" s="20"/>
      <c r="J61" s="20"/>
      <c r="K61" s="21"/>
      <c r="L61" s="21"/>
      <c r="M61" s="21"/>
      <c r="N61" s="22"/>
    </row>
    <row r="62" spans="2:19" x14ac:dyDescent="0.2">
      <c r="B62" s="23"/>
      <c r="C62" s="24"/>
      <c r="D62" s="24"/>
      <c r="E62" s="24"/>
      <c r="F62" s="25" t="s">
        <v>31</v>
      </c>
      <c r="G62" s="25" t="s">
        <v>32</v>
      </c>
      <c r="H62" s="25"/>
      <c r="I62" s="25"/>
      <c r="J62" s="25"/>
      <c r="K62" s="3">
        <f>H56</f>
        <v>12105.640000000001</v>
      </c>
      <c r="L62" s="25" t="s">
        <v>33</v>
      </c>
      <c r="M62" s="25"/>
      <c r="N62" s="26"/>
    </row>
    <row r="63" spans="2:19" x14ac:dyDescent="0.2">
      <c r="B63" s="23"/>
      <c r="C63" s="24"/>
      <c r="D63" s="24"/>
      <c r="E63" s="24"/>
      <c r="F63" s="27"/>
      <c r="G63" s="25" t="s">
        <v>34</v>
      </c>
      <c r="H63" s="25"/>
      <c r="I63" s="25"/>
      <c r="J63" s="25"/>
      <c r="K63" s="3">
        <f>H58</f>
        <v>12225.91</v>
      </c>
      <c r="L63" s="25" t="s">
        <v>49</v>
      </c>
      <c r="M63" s="25"/>
      <c r="N63" s="28"/>
    </row>
    <row r="64" spans="2:19" x14ac:dyDescent="0.2">
      <c r="B64" s="23" t="s">
        <v>48</v>
      </c>
      <c r="C64" s="25"/>
      <c r="D64" s="25"/>
      <c r="E64" s="25"/>
      <c r="F64" s="27"/>
      <c r="G64" s="25" t="str">
        <f>IF(K64&gt;0,"Diferencia a favor del contribuyente, casilla 133","Diferencia en contra del contribuyente, casilla 134")</f>
        <v>Diferencia a favor del contribuyente, casilla 133</v>
      </c>
      <c r="H64" s="25"/>
      <c r="I64" s="25"/>
      <c r="J64" s="25"/>
      <c r="K64" s="51">
        <f>K63-K62</f>
        <v>120.26999999999862</v>
      </c>
      <c r="L64" s="25"/>
      <c r="M64" s="25"/>
      <c r="N64" s="26"/>
    </row>
    <row r="65" spans="2:14" ht="13.5" customHeight="1" thickBot="1" x14ac:dyDescent="0.25">
      <c r="B65" s="125" t="s">
        <v>47</v>
      </c>
      <c r="C65" s="126"/>
      <c r="D65" s="126"/>
      <c r="E65" s="126"/>
      <c r="F65" s="29"/>
      <c r="G65" s="30" t="s">
        <v>35</v>
      </c>
      <c r="H65" s="30"/>
      <c r="I65" s="30"/>
      <c r="J65" s="30"/>
      <c r="K65" s="3"/>
      <c r="L65" s="31"/>
      <c r="M65" s="30"/>
      <c r="N65" s="32"/>
    </row>
    <row r="66" spans="2:14" x14ac:dyDescent="0.2">
      <c r="B66" s="33"/>
      <c r="C66" s="33"/>
      <c r="D66" s="33"/>
      <c r="E66" s="33"/>
      <c r="F66" s="33"/>
      <c r="G66" s="25"/>
      <c r="H66" s="25"/>
      <c r="I66" s="25"/>
      <c r="J66" s="25"/>
      <c r="K66" s="25"/>
      <c r="M66" s="25"/>
      <c r="N66" s="25"/>
    </row>
    <row r="67" spans="2:14" x14ac:dyDescent="0.2">
      <c r="B67" s="33"/>
      <c r="C67" s="33"/>
      <c r="D67" s="33"/>
      <c r="E67" s="33"/>
      <c r="F67" s="33"/>
      <c r="G67" s="25"/>
      <c r="H67" s="25"/>
      <c r="I67" s="25"/>
      <c r="J67" s="25"/>
      <c r="K67" s="25"/>
      <c r="M67" s="25"/>
      <c r="N67" s="25"/>
    </row>
    <row r="68" spans="2:14" x14ac:dyDescent="0.2">
      <c r="B68" s="33"/>
      <c r="C68" s="33"/>
      <c r="D68" s="33"/>
      <c r="E68" s="33"/>
      <c r="F68" s="33"/>
      <c r="G68" s="25"/>
      <c r="H68" s="25"/>
      <c r="I68" s="25"/>
      <c r="J68" s="25"/>
      <c r="K68" s="25"/>
      <c r="M68" s="25"/>
      <c r="N68" s="25"/>
    </row>
    <row r="69" spans="2:14" x14ac:dyDescent="0.2">
      <c r="B69" s="33"/>
      <c r="C69" s="33"/>
      <c r="D69" s="33"/>
      <c r="E69" s="33"/>
      <c r="F69" s="33"/>
      <c r="G69" s="25"/>
      <c r="H69" s="25"/>
      <c r="I69" s="25"/>
      <c r="J69" s="25"/>
      <c r="K69" s="25"/>
      <c r="M69" s="25"/>
      <c r="N69" s="25"/>
    </row>
    <row r="70" spans="2:14" ht="15.75" x14ac:dyDescent="0.25">
      <c r="B70" s="34" t="s">
        <v>43</v>
      </c>
      <c r="C70" s="33"/>
      <c r="D70" s="33"/>
      <c r="E70" s="33"/>
      <c r="F70" s="33"/>
      <c r="G70" s="25"/>
      <c r="H70" s="25"/>
      <c r="I70" s="25"/>
      <c r="J70" s="25"/>
      <c r="K70" s="25" t="s">
        <v>42</v>
      </c>
      <c r="M70" s="25"/>
      <c r="N70" s="25"/>
    </row>
    <row r="71" spans="2:14" ht="15.75" x14ac:dyDescent="0.25">
      <c r="B71" s="34" t="s">
        <v>36</v>
      </c>
      <c r="C71" s="33"/>
      <c r="D71" s="33"/>
      <c r="E71" s="33"/>
      <c r="F71" s="33"/>
      <c r="G71" s="50"/>
      <c r="H71" s="25"/>
      <c r="I71" s="25"/>
      <c r="J71" s="25"/>
      <c r="K71" s="25"/>
      <c r="M71" s="25"/>
      <c r="N71" s="25"/>
    </row>
    <row r="72" spans="2:14" ht="15.75" x14ac:dyDescent="0.25">
      <c r="B72" s="34" t="s">
        <v>37</v>
      </c>
    </row>
    <row r="73" spans="2:14" ht="15.75" x14ac:dyDescent="0.25">
      <c r="B73" s="34" t="s">
        <v>38</v>
      </c>
    </row>
  </sheetData>
  <mergeCells count="16">
    <mergeCell ref="B2:N2"/>
    <mergeCell ref="B3:N3"/>
    <mergeCell ref="B4:N4"/>
    <mergeCell ref="B5:N5"/>
    <mergeCell ref="M6:M7"/>
    <mergeCell ref="B6:B7"/>
    <mergeCell ref="C6:D6"/>
    <mergeCell ref="E6:G6"/>
    <mergeCell ref="H6:H7"/>
    <mergeCell ref="B65:E65"/>
    <mergeCell ref="J6:J7"/>
    <mergeCell ref="K6:K7"/>
    <mergeCell ref="L6:L7"/>
    <mergeCell ref="Q6:R6"/>
    <mergeCell ref="N6:N7"/>
    <mergeCell ref="I6:I7"/>
  </mergeCells>
  <phoneticPr fontId="0" type="noConversion"/>
  <pageMargins left="0.4" right="0.38" top="0.46" bottom="0.31" header="0.4" footer="0"/>
  <pageSetup scale="85" fitToHeight="0" orientation="landscape" horizontalDpi="180" verticalDpi="180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89482-915C-4808-8A8F-86C56CEC145C}">
  <dimension ref="A1:L69"/>
  <sheetViews>
    <sheetView showGridLines="0" view="pageBreakPreview" zoomScale="115" zoomScaleNormal="100" zoomScaleSheetLayoutView="115" workbookViewId="0">
      <pane ySplit="6" topLeftCell="A49" activePane="bottomLeft" state="frozen"/>
      <selection activeCell="G67" sqref="G67"/>
      <selection pane="bottomLeft" activeCell="G67" sqref="G67"/>
    </sheetView>
  </sheetViews>
  <sheetFormatPr baseColWidth="10" defaultRowHeight="12.75" x14ac:dyDescent="0.2"/>
  <cols>
    <col min="1" max="1" width="12.85546875" style="56" customWidth="1"/>
    <col min="2" max="2" width="14.42578125" style="56" bestFit="1" customWidth="1"/>
    <col min="3" max="3" width="12" style="56" bestFit="1" customWidth="1"/>
    <col min="4" max="4" width="14" style="56" bestFit="1" customWidth="1"/>
    <col min="5" max="5" width="13" style="56" bestFit="1" customWidth="1"/>
    <col min="6" max="6" width="14.42578125" style="56" bestFit="1" customWidth="1"/>
    <col min="7" max="7" width="11.140625" style="57" customWidth="1"/>
    <col min="8" max="8" width="17.7109375" style="56" bestFit="1" customWidth="1"/>
    <col min="9" max="9" width="12.5703125" style="57" bestFit="1" customWidth="1"/>
    <col min="10" max="10" width="16.28515625" style="56" customWidth="1"/>
    <col min="11" max="11" width="11.5703125" style="57" bestFit="1" customWidth="1"/>
    <col min="12" max="12" width="12" style="56" bestFit="1" customWidth="1"/>
    <col min="13" max="16384" width="11.42578125" style="56"/>
  </cols>
  <sheetData>
    <row r="1" spans="1:12" ht="20.25" x14ac:dyDescent="0.3">
      <c r="L1" s="88" t="s">
        <v>68</v>
      </c>
    </row>
    <row r="2" spans="1:12" ht="33.75" customHeight="1" x14ac:dyDescent="0.2">
      <c r="A2" s="162" t="s">
        <v>67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</row>
    <row r="3" spans="1:12" ht="15.75" x14ac:dyDescent="0.2">
      <c r="A3" s="163" t="s">
        <v>66</v>
      </c>
      <c r="B3" s="164"/>
      <c r="C3" s="164"/>
      <c r="D3" s="164"/>
      <c r="E3" s="164"/>
      <c r="F3" s="164"/>
      <c r="G3" s="164"/>
      <c r="H3" s="164"/>
      <c r="I3" s="164"/>
      <c r="J3" s="164"/>
    </row>
    <row r="5" spans="1:12" ht="19.5" customHeight="1" x14ac:dyDescent="0.2">
      <c r="A5" s="165" t="s">
        <v>65</v>
      </c>
      <c r="B5" s="159" t="s">
        <v>2</v>
      </c>
      <c r="C5" s="159"/>
      <c r="D5" s="159" t="s">
        <v>3</v>
      </c>
      <c r="E5" s="159"/>
      <c r="F5" s="159"/>
      <c r="G5" s="158" t="s">
        <v>64</v>
      </c>
      <c r="H5" s="166" t="s">
        <v>71</v>
      </c>
      <c r="I5" s="158" t="s">
        <v>63</v>
      </c>
      <c r="J5" s="160" t="s">
        <v>62</v>
      </c>
      <c r="K5" s="161" t="s">
        <v>61</v>
      </c>
      <c r="L5" s="165" t="s">
        <v>60</v>
      </c>
    </row>
    <row r="6" spans="1:12" s="86" customFormat="1" ht="38.25" customHeight="1" x14ac:dyDescent="0.2">
      <c r="A6" s="165"/>
      <c r="B6" s="87" t="s">
        <v>59</v>
      </c>
      <c r="C6" s="87" t="s">
        <v>58</v>
      </c>
      <c r="D6" s="87" t="s">
        <v>57</v>
      </c>
      <c r="E6" s="87" t="s">
        <v>56</v>
      </c>
      <c r="F6" s="87" t="s">
        <v>55</v>
      </c>
      <c r="G6" s="158"/>
      <c r="H6" s="166"/>
      <c r="I6" s="158"/>
      <c r="J6" s="160"/>
      <c r="K6" s="161"/>
      <c r="L6" s="165"/>
    </row>
    <row r="7" spans="1:12" x14ac:dyDescent="0.2">
      <c r="A7" s="85"/>
      <c r="B7" s="83"/>
      <c r="C7" s="84"/>
      <c r="D7" s="83"/>
      <c r="E7" s="84"/>
      <c r="F7" s="83"/>
      <c r="G7" s="82"/>
      <c r="H7" s="83"/>
      <c r="I7" s="82"/>
      <c r="J7" s="83"/>
      <c r="K7" s="82"/>
      <c r="L7" s="81"/>
    </row>
    <row r="8" spans="1:12" x14ac:dyDescent="0.2">
      <c r="A8" s="80" t="s">
        <v>14</v>
      </c>
      <c r="B8" s="91">
        <v>167567.32</v>
      </c>
      <c r="C8" s="61">
        <f>B8*13%</f>
        <v>21783.751600000003</v>
      </c>
      <c r="D8" s="91">
        <v>1295432.3999999999</v>
      </c>
      <c r="E8" s="92">
        <v>57796.959999999999</v>
      </c>
      <c r="F8" s="60">
        <f>SUM(D8:E8)</f>
        <v>1353229.3599999999</v>
      </c>
      <c r="G8" s="61">
        <f>C8*E9</f>
        <v>930.39262751078377</v>
      </c>
      <c r="H8" s="60">
        <f>C8-G8</f>
        <v>20853.358972489219</v>
      </c>
      <c r="I8" s="61">
        <f>E8*13%</f>
        <v>7513.6048000000001</v>
      </c>
      <c r="J8" s="60">
        <f>G8-I8</f>
        <v>-6583.2121724892168</v>
      </c>
      <c r="K8" s="61">
        <v>0</v>
      </c>
      <c r="L8" s="72">
        <f>J8-K8</f>
        <v>-6583.2121724892168</v>
      </c>
    </row>
    <row r="9" spans="1:12" x14ac:dyDescent="0.2">
      <c r="A9" s="80"/>
      <c r="B9" s="68"/>
      <c r="C9" s="70"/>
      <c r="D9" s="59">
        <f>D8/F8</f>
        <v>0.95728960536298147</v>
      </c>
      <c r="E9" s="69">
        <f>E8/F8</f>
        <v>4.271039463701852E-2</v>
      </c>
      <c r="F9" s="59">
        <f>D9+E9</f>
        <v>1</v>
      </c>
      <c r="G9" s="61"/>
      <c r="H9" s="68"/>
      <c r="I9" s="61"/>
      <c r="J9" s="68"/>
      <c r="K9" s="61"/>
      <c r="L9" s="67"/>
    </row>
    <row r="10" spans="1:12" x14ac:dyDescent="0.2">
      <c r="A10" s="80"/>
      <c r="B10" s="68"/>
      <c r="C10" s="70"/>
      <c r="D10" s="59"/>
      <c r="E10" s="69"/>
      <c r="F10" s="59"/>
      <c r="G10" s="61"/>
      <c r="H10" s="68"/>
      <c r="I10" s="61"/>
      <c r="J10" s="68"/>
      <c r="K10" s="61"/>
      <c r="L10" s="67"/>
    </row>
    <row r="11" spans="1:12" x14ac:dyDescent="0.2">
      <c r="A11" s="80" t="s">
        <v>16</v>
      </c>
      <c r="B11" s="93">
        <v>179242.16</v>
      </c>
      <c r="C11" s="61">
        <f>B11*13%</f>
        <v>23301.480800000001</v>
      </c>
      <c r="D11" s="91">
        <v>1123404.8</v>
      </c>
      <c r="E11" s="92">
        <v>91267.57</v>
      </c>
      <c r="F11" s="60">
        <f>SUM(D11:E11)</f>
        <v>1214672.3700000001</v>
      </c>
      <c r="G11" s="61"/>
      <c r="H11" s="68"/>
      <c r="I11" s="61"/>
      <c r="J11" s="68"/>
      <c r="K11" s="61"/>
      <c r="L11" s="67"/>
    </row>
    <row r="12" spans="1:12" x14ac:dyDescent="0.2">
      <c r="A12" s="80"/>
      <c r="B12" s="60"/>
      <c r="C12" s="61"/>
      <c r="D12" s="60">
        <f>D8+D11</f>
        <v>2418837.2000000002</v>
      </c>
      <c r="E12" s="61">
        <f>E11+E8</f>
        <v>149064.53</v>
      </c>
      <c r="F12" s="60">
        <f>SUM(D12:E12)</f>
        <v>2567901.73</v>
      </c>
      <c r="G12" s="61">
        <f>C11*E13</f>
        <v>1352.6313110728051</v>
      </c>
      <c r="H12" s="60">
        <f>C11-G12</f>
        <v>21948.849488927197</v>
      </c>
      <c r="I12" s="61">
        <f>E11*13%</f>
        <v>11864.784100000001</v>
      </c>
      <c r="J12" s="60">
        <f>G12-I12</f>
        <v>-10512.152788927197</v>
      </c>
      <c r="K12" s="61">
        <v>0</v>
      </c>
      <c r="L12" s="72">
        <f>J12-K12</f>
        <v>-10512.152788927197</v>
      </c>
    </row>
    <row r="13" spans="1:12" x14ac:dyDescent="0.2">
      <c r="A13" s="80"/>
      <c r="B13" s="68"/>
      <c r="C13" s="70"/>
      <c r="D13" s="69">
        <f>D12/F12</f>
        <v>0.94195084326688783</v>
      </c>
      <c r="E13" s="69">
        <f>E12/F12</f>
        <v>5.8049156733112214E-2</v>
      </c>
      <c r="F13" s="59">
        <f>SUM(D13:E13)</f>
        <v>1</v>
      </c>
      <c r="G13" s="61"/>
      <c r="H13" s="68"/>
      <c r="I13" s="61"/>
      <c r="J13" s="68"/>
      <c r="K13" s="61"/>
      <c r="L13" s="67"/>
    </row>
    <row r="14" spans="1:12" x14ac:dyDescent="0.2">
      <c r="A14" s="80"/>
      <c r="B14" s="68"/>
      <c r="C14" s="70"/>
      <c r="D14" s="59"/>
      <c r="E14" s="69"/>
      <c r="F14" s="59"/>
      <c r="G14" s="61"/>
      <c r="H14" s="68"/>
      <c r="I14" s="61"/>
      <c r="J14" s="68"/>
      <c r="K14" s="61"/>
      <c r="L14" s="67"/>
    </row>
    <row r="15" spans="1:12" x14ac:dyDescent="0.2">
      <c r="A15" s="80" t="s">
        <v>18</v>
      </c>
      <c r="B15" s="91">
        <v>158830.06</v>
      </c>
      <c r="C15" s="61">
        <f>B15*13%</f>
        <v>20647.907800000001</v>
      </c>
      <c r="D15" s="91">
        <v>1126843.2</v>
      </c>
      <c r="E15" s="92">
        <v>441415.38</v>
      </c>
      <c r="F15" s="60">
        <f>SUM(D15:E15)</f>
        <v>1568258.58</v>
      </c>
      <c r="G15" s="61"/>
      <c r="H15" s="68"/>
      <c r="I15" s="61"/>
      <c r="J15" s="68"/>
      <c r="K15" s="61"/>
      <c r="L15" s="67"/>
    </row>
    <row r="16" spans="1:12" x14ac:dyDescent="0.2">
      <c r="A16" s="80"/>
      <c r="B16" s="60"/>
      <c r="C16" s="61"/>
      <c r="D16" s="60">
        <f>D15+D12</f>
        <v>3545680.4000000004</v>
      </c>
      <c r="E16" s="61">
        <f>E15+E12</f>
        <v>590479.91</v>
      </c>
      <c r="F16" s="60">
        <f>SUM(D16:E16)</f>
        <v>4136160.3100000005</v>
      </c>
      <c r="G16" s="61">
        <f>C15*E17</f>
        <v>2947.7036250155156</v>
      </c>
      <c r="H16" s="60">
        <f>C15-G16</f>
        <v>17700.204174984487</v>
      </c>
      <c r="I16" s="61">
        <f>E15*13%</f>
        <v>57383.999400000001</v>
      </c>
      <c r="J16" s="60">
        <f>G16-I16</f>
        <v>-54436.295774984486</v>
      </c>
      <c r="K16" s="61">
        <v>0</v>
      </c>
      <c r="L16" s="72">
        <f>J16-K16</f>
        <v>-54436.295774984486</v>
      </c>
    </row>
    <row r="17" spans="1:12" x14ac:dyDescent="0.2">
      <c r="A17" s="80"/>
      <c r="B17" s="68"/>
      <c r="C17" s="70"/>
      <c r="D17" s="69">
        <f>D16/F16</f>
        <v>0.85723959765959845</v>
      </c>
      <c r="E17" s="69">
        <f>E16/F16</f>
        <v>0.14276040234040155</v>
      </c>
      <c r="F17" s="59">
        <f>SUM(D17:E17)</f>
        <v>1</v>
      </c>
      <c r="G17" s="61"/>
      <c r="H17" s="68"/>
      <c r="I17" s="61"/>
      <c r="J17" s="68"/>
      <c r="K17" s="61"/>
      <c r="L17" s="67"/>
    </row>
    <row r="18" spans="1:12" x14ac:dyDescent="0.2">
      <c r="A18" s="80"/>
      <c r="B18" s="68"/>
      <c r="C18" s="70"/>
      <c r="D18" s="59"/>
      <c r="E18" s="69"/>
      <c r="F18" s="59"/>
      <c r="G18" s="61"/>
      <c r="H18" s="68"/>
      <c r="I18" s="61"/>
      <c r="J18" s="68"/>
      <c r="K18" s="61"/>
      <c r="L18" s="67"/>
    </row>
    <row r="19" spans="1:12" x14ac:dyDescent="0.2">
      <c r="A19" s="71" t="s">
        <v>19</v>
      </c>
      <c r="B19" s="91">
        <v>200016.31</v>
      </c>
      <c r="C19" s="61">
        <f>B19*13%</f>
        <v>26002.120300000002</v>
      </c>
      <c r="D19" s="91">
        <v>1444983.4</v>
      </c>
      <c r="E19" s="92">
        <v>63068.22</v>
      </c>
      <c r="F19" s="60">
        <f>SUM(D19:E19)</f>
        <v>1508051.6199999999</v>
      </c>
      <c r="G19" s="61"/>
      <c r="H19" s="68"/>
      <c r="I19" s="61"/>
      <c r="J19" s="68"/>
      <c r="K19" s="61"/>
      <c r="L19" s="67"/>
    </row>
    <row r="20" spans="1:12" x14ac:dyDescent="0.2">
      <c r="A20" s="71"/>
      <c r="B20" s="60"/>
      <c r="C20" s="61"/>
      <c r="D20" s="60">
        <f>D19+D16</f>
        <v>4990663.8000000007</v>
      </c>
      <c r="E20" s="61">
        <f>E19+E16</f>
        <v>653548.13</v>
      </c>
      <c r="F20" s="60">
        <f>SUM(D20:E20)</f>
        <v>5644211.9300000006</v>
      </c>
      <c r="G20" s="61">
        <f>C19*E21</f>
        <v>3010.8077635738314</v>
      </c>
      <c r="H20" s="60">
        <f>C19-G20</f>
        <v>22991.312536426172</v>
      </c>
      <c r="I20" s="61">
        <f>E19*13%</f>
        <v>8198.8685999999998</v>
      </c>
      <c r="J20" s="60">
        <f>G20-I20</f>
        <v>-5188.060836426168</v>
      </c>
      <c r="K20" s="61">
        <v>0</v>
      </c>
      <c r="L20" s="72">
        <f>J20-K20</f>
        <v>-5188.060836426168</v>
      </c>
    </row>
    <row r="21" spans="1:12" x14ac:dyDescent="0.2">
      <c r="A21" s="80"/>
      <c r="B21" s="68"/>
      <c r="C21" s="70"/>
      <c r="D21" s="69">
        <f>D20/F20</f>
        <v>0.8842091441453015</v>
      </c>
      <c r="E21" s="69">
        <f>E20/F20</f>
        <v>0.11579085585469856</v>
      </c>
      <c r="F21" s="59">
        <f>E21+D21</f>
        <v>1</v>
      </c>
      <c r="G21" s="61"/>
      <c r="H21" s="68"/>
      <c r="I21" s="61"/>
      <c r="J21" s="68"/>
      <c r="K21" s="61"/>
      <c r="L21" s="67"/>
    </row>
    <row r="22" spans="1:12" x14ac:dyDescent="0.2">
      <c r="A22" s="80"/>
      <c r="B22" s="68"/>
      <c r="C22" s="70"/>
      <c r="D22" s="68"/>
      <c r="E22" s="70"/>
      <c r="F22" s="68"/>
      <c r="G22" s="61"/>
      <c r="H22" s="68"/>
      <c r="I22" s="61"/>
      <c r="J22" s="68"/>
      <c r="K22" s="61"/>
      <c r="L22" s="67"/>
    </row>
    <row r="23" spans="1:12" x14ac:dyDescent="0.2">
      <c r="A23" s="71" t="s">
        <v>20</v>
      </c>
      <c r="B23" s="91">
        <v>167258.81</v>
      </c>
      <c r="C23" s="61">
        <f>B23*13%</f>
        <v>21743.6453</v>
      </c>
      <c r="D23" s="91">
        <v>1252227.9099999999</v>
      </c>
      <c r="E23" s="92">
        <v>74617.66</v>
      </c>
      <c r="F23" s="60">
        <f>SUM(D23:E23)</f>
        <v>1326845.5699999998</v>
      </c>
      <c r="G23" s="61"/>
      <c r="H23" s="68"/>
      <c r="I23" s="61"/>
      <c r="J23" s="68"/>
      <c r="K23" s="61"/>
      <c r="L23" s="67"/>
    </row>
    <row r="24" spans="1:12" x14ac:dyDescent="0.2">
      <c r="A24" s="71"/>
      <c r="B24" s="60"/>
      <c r="C24" s="61"/>
      <c r="D24" s="60">
        <f>D23+D20</f>
        <v>6242891.7100000009</v>
      </c>
      <c r="E24" s="61">
        <f>E20+E23</f>
        <v>728165.79</v>
      </c>
      <c r="F24" s="60">
        <f>SUM(D24:E24)</f>
        <v>6971057.5000000009</v>
      </c>
      <c r="G24" s="61">
        <f>C23*E25</f>
        <v>2271.2448803290299</v>
      </c>
      <c r="H24" s="60">
        <f>C23-G24</f>
        <v>19472.400419670972</v>
      </c>
      <c r="I24" s="61">
        <f>E23*13%</f>
        <v>9700.2958000000017</v>
      </c>
      <c r="J24" s="60">
        <f>G24-I24</f>
        <v>-7429.0509196709718</v>
      </c>
      <c r="K24" s="61">
        <v>0</v>
      </c>
      <c r="L24" s="72">
        <f>J24-K24</f>
        <v>-7429.0509196709718</v>
      </c>
    </row>
    <row r="25" spans="1:12" x14ac:dyDescent="0.2">
      <c r="A25" s="71"/>
      <c r="B25" s="68"/>
      <c r="C25" s="70"/>
      <c r="D25" s="69">
        <f>D24/F24</f>
        <v>0.89554442923473232</v>
      </c>
      <c r="E25" s="69">
        <f>E24/F24</f>
        <v>0.10445557076526767</v>
      </c>
      <c r="F25" s="59">
        <f>E25+D25</f>
        <v>1</v>
      </c>
      <c r="G25" s="61"/>
      <c r="H25" s="68"/>
      <c r="I25" s="61"/>
      <c r="J25" s="68"/>
      <c r="K25" s="61"/>
      <c r="L25" s="67"/>
    </row>
    <row r="26" spans="1:12" x14ac:dyDescent="0.2">
      <c r="A26" s="71"/>
      <c r="B26" s="68"/>
      <c r="C26" s="70"/>
      <c r="D26" s="68"/>
      <c r="E26" s="70"/>
      <c r="F26" s="68"/>
      <c r="G26" s="61"/>
      <c r="H26" s="68"/>
      <c r="I26" s="61"/>
      <c r="J26" s="68"/>
      <c r="K26" s="61"/>
      <c r="L26" s="67"/>
    </row>
    <row r="27" spans="1:12" x14ac:dyDescent="0.2">
      <c r="A27" s="71" t="s">
        <v>21</v>
      </c>
      <c r="B27" s="91">
        <v>213104.2</v>
      </c>
      <c r="C27" s="61">
        <f>B27*13%</f>
        <v>27703.546000000002</v>
      </c>
      <c r="D27" s="91">
        <v>1287101.99</v>
      </c>
      <c r="E27" s="92">
        <v>97079.79</v>
      </c>
      <c r="F27" s="60">
        <f>SUM(D27:E27)</f>
        <v>1384181.78</v>
      </c>
      <c r="G27" s="61"/>
      <c r="H27" s="68"/>
      <c r="I27" s="61"/>
      <c r="J27" s="68"/>
      <c r="K27" s="61"/>
      <c r="L27" s="67"/>
    </row>
    <row r="28" spans="1:12" x14ac:dyDescent="0.2">
      <c r="A28" s="71"/>
      <c r="B28" s="60"/>
      <c r="C28" s="61"/>
      <c r="D28" s="60">
        <f>D27+D24</f>
        <v>7529993.7000000011</v>
      </c>
      <c r="E28" s="61">
        <f>E27+E24</f>
        <v>825245.58000000007</v>
      </c>
      <c r="F28" s="60">
        <f>E28+D28</f>
        <v>8355239.2800000012</v>
      </c>
      <c r="G28" s="61">
        <f>C27*E29</f>
        <v>2736.2745842063641</v>
      </c>
      <c r="H28" s="60">
        <f>C27-G28</f>
        <v>24967.271415793639</v>
      </c>
      <c r="I28" s="61">
        <v>12620.37</v>
      </c>
      <c r="J28" s="60">
        <f>G28-I28</f>
        <v>-9884.0954157936358</v>
      </c>
      <c r="K28" s="61">
        <v>0</v>
      </c>
      <c r="L28" s="72">
        <f>J28-K28</f>
        <v>-9884.0954157936358</v>
      </c>
    </row>
    <row r="29" spans="1:12" x14ac:dyDescent="0.2">
      <c r="A29" s="71"/>
      <c r="B29" s="68"/>
      <c r="C29" s="70"/>
      <c r="D29" s="69">
        <f>D28/F28</f>
        <v>0.90123016800064637</v>
      </c>
      <c r="E29" s="69">
        <f>E28/F28</f>
        <v>9.8769831999353574E-2</v>
      </c>
      <c r="F29" s="59">
        <f>E29+D29</f>
        <v>1</v>
      </c>
      <c r="G29" s="61"/>
      <c r="H29" s="68"/>
      <c r="I29" s="61"/>
      <c r="J29" s="68"/>
      <c r="K29" s="61"/>
      <c r="L29" s="67"/>
    </row>
    <row r="30" spans="1:12" x14ac:dyDescent="0.2">
      <c r="A30" s="71"/>
      <c r="B30" s="68"/>
      <c r="C30" s="70"/>
      <c r="D30" s="68"/>
      <c r="E30" s="70"/>
      <c r="F30" s="68"/>
      <c r="G30" s="61"/>
      <c r="H30" s="68"/>
      <c r="I30" s="61"/>
      <c r="J30" s="68"/>
      <c r="K30" s="61"/>
      <c r="L30" s="67"/>
    </row>
    <row r="31" spans="1:12" x14ac:dyDescent="0.2">
      <c r="A31" s="71" t="s">
        <v>22</v>
      </c>
      <c r="B31" s="91">
        <v>158419.26</v>
      </c>
      <c r="C31" s="61">
        <f>B31*13%</f>
        <v>20594.503800000002</v>
      </c>
      <c r="D31" s="91">
        <v>1315387.1200000001</v>
      </c>
      <c r="E31" s="92">
        <v>70439.45</v>
      </c>
      <c r="F31" s="60">
        <f>SUM(D31:E31)</f>
        <v>1385826.57</v>
      </c>
      <c r="G31" s="61"/>
      <c r="H31" s="68"/>
      <c r="I31" s="61"/>
      <c r="J31" s="68"/>
      <c r="K31" s="61"/>
      <c r="L31" s="67"/>
    </row>
    <row r="32" spans="1:12" x14ac:dyDescent="0.2">
      <c r="A32" s="71"/>
      <c r="B32" s="60"/>
      <c r="C32" s="61"/>
      <c r="D32" s="60">
        <f>D31+D28</f>
        <v>8845380.8200000003</v>
      </c>
      <c r="E32" s="61">
        <f>E31+E28</f>
        <v>895685.03</v>
      </c>
      <c r="F32" s="60">
        <f>E32+D32</f>
        <v>9741065.8499999996</v>
      </c>
      <c r="G32" s="61">
        <f>C31*E33</f>
        <v>1893.6519922959064</v>
      </c>
      <c r="H32" s="60">
        <f>C31-G32</f>
        <v>18700.851807704097</v>
      </c>
      <c r="I32" s="61">
        <v>9157.1299999999992</v>
      </c>
      <c r="J32" s="60">
        <f>G32-I32</f>
        <v>-7263.4780077040923</v>
      </c>
      <c r="K32" s="61">
        <v>0</v>
      </c>
      <c r="L32" s="72">
        <f>J32-K32</f>
        <v>-7263.4780077040923</v>
      </c>
    </row>
    <row r="33" spans="1:12" x14ac:dyDescent="0.2">
      <c r="A33" s="71"/>
      <c r="B33" s="68"/>
      <c r="C33" s="70"/>
      <c r="D33" s="69">
        <f>D32/F32</f>
        <v>0.90805061337307358</v>
      </c>
      <c r="E33" s="69">
        <f>E32/F32</f>
        <v>9.1949386626926463E-2</v>
      </c>
      <c r="F33" s="59">
        <f>E33+D33</f>
        <v>1</v>
      </c>
      <c r="G33" s="61"/>
      <c r="H33" s="68"/>
      <c r="I33" s="61"/>
      <c r="J33" s="68"/>
      <c r="K33" s="61"/>
      <c r="L33" s="67"/>
    </row>
    <row r="34" spans="1:12" x14ac:dyDescent="0.2">
      <c r="A34" s="71"/>
      <c r="B34" s="68"/>
      <c r="C34" s="70"/>
      <c r="D34" s="59"/>
      <c r="E34" s="69"/>
      <c r="F34" s="59"/>
      <c r="G34" s="61"/>
      <c r="H34" s="68"/>
      <c r="I34" s="61"/>
      <c r="J34" s="68"/>
      <c r="K34" s="61"/>
      <c r="L34" s="67"/>
    </row>
    <row r="35" spans="1:12" x14ac:dyDescent="0.2">
      <c r="A35" s="71" t="s">
        <v>54</v>
      </c>
      <c r="B35" s="91">
        <v>191236.23</v>
      </c>
      <c r="C35" s="61">
        <f>B35*13%</f>
        <v>24860.709900000002</v>
      </c>
      <c r="D35" s="91">
        <v>1287765.07</v>
      </c>
      <c r="E35" s="92">
        <v>57733.18</v>
      </c>
      <c r="F35" s="60">
        <f>SUM(D35:E35)</f>
        <v>1345498.25</v>
      </c>
      <c r="G35" s="61"/>
      <c r="H35" s="68"/>
      <c r="I35" s="61"/>
      <c r="J35" s="68"/>
      <c r="K35" s="61"/>
      <c r="L35" s="67"/>
    </row>
    <row r="36" spans="1:12" x14ac:dyDescent="0.2">
      <c r="A36" s="71"/>
      <c r="B36" s="60"/>
      <c r="C36" s="61"/>
      <c r="D36" s="60">
        <f>D35+D32</f>
        <v>10133145.890000001</v>
      </c>
      <c r="E36" s="61">
        <f>E35+E32</f>
        <v>953418.21000000008</v>
      </c>
      <c r="F36" s="60">
        <f>E36+D36</f>
        <v>11086564.100000001</v>
      </c>
      <c r="G36" s="61">
        <f>C35*E37</f>
        <v>2137.962069978676</v>
      </c>
      <c r="H36" s="60">
        <f>C35-G36</f>
        <v>22722.747830021326</v>
      </c>
      <c r="I36" s="61">
        <v>7505.31</v>
      </c>
      <c r="J36" s="60">
        <f>G36-I36</f>
        <v>-5367.3479300213239</v>
      </c>
      <c r="K36" s="61">
        <v>0</v>
      </c>
      <c r="L36" s="72">
        <f>J36-K36</f>
        <v>-5367.3479300213239</v>
      </c>
    </row>
    <row r="37" spans="1:12" x14ac:dyDescent="0.2">
      <c r="A37" s="71"/>
      <c r="B37" s="68"/>
      <c r="C37" s="70"/>
      <c r="D37" s="69">
        <f>D36/F36</f>
        <v>0.91400237247534599</v>
      </c>
      <c r="E37" s="69">
        <f>E36/F36</f>
        <v>8.5997627524653911E-2</v>
      </c>
      <c r="F37" s="59">
        <f>E37+D37</f>
        <v>0.99999999999999989</v>
      </c>
      <c r="G37" s="61"/>
      <c r="H37" s="68"/>
      <c r="I37" s="61"/>
      <c r="J37" s="68"/>
      <c r="K37" s="61"/>
      <c r="L37" s="67"/>
    </row>
    <row r="38" spans="1:12" x14ac:dyDescent="0.2">
      <c r="A38" s="71"/>
      <c r="B38" s="68"/>
      <c r="C38" s="70"/>
      <c r="D38" s="59"/>
      <c r="E38" s="69"/>
      <c r="F38" s="59"/>
      <c r="G38" s="61"/>
      <c r="H38" s="68"/>
      <c r="I38" s="61"/>
      <c r="J38" s="68"/>
      <c r="K38" s="61"/>
      <c r="L38" s="67"/>
    </row>
    <row r="39" spans="1:12" x14ac:dyDescent="0.2">
      <c r="A39" s="71" t="s">
        <v>53</v>
      </c>
      <c r="B39" s="91">
        <v>200043.5845</v>
      </c>
      <c r="C39" s="61">
        <f>B39*13%</f>
        <v>26005.665985</v>
      </c>
      <c r="D39" s="91">
        <v>1278922.55</v>
      </c>
      <c r="E39" s="92">
        <v>57486.85</v>
      </c>
      <c r="F39" s="60">
        <f>SUM(D39:E39)</f>
        <v>1336409.4000000001</v>
      </c>
      <c r="G39" s="61"/>
      <c r="H39" s="68"/>
      <c r="I39" s="61"/>
      <c r="J39" s="68"/>
      <c r="K39" s="61"/>
      <c r="L39" s="67"/>
    </row>
    <row r="40" spans="1:12" x14ac:dyDescent="0.2">
      <c r="A40" s="71"/>
      <c r="B40" s="60"/>
      <c r="C40" s="61"/>
      <c r="D40" s="60">
        <f>D39+D36</f>
        <v>11412068.440000001</v>
      </c>
      <c r="E40" s="61">
        <f>E39+E36</f>
        <v>1010905.06</v>
      </c>
      <c r="F40" s="60">
        <f>E40+D40</f>
        <v>12422973.500000002</v>
      </c>
      <c r="G40" s="61">
        <f>C39*E41</f>
        <v>2116.180907325157</v>
      </c>
      <c r="H40" s="60">
        <f>C39-G40</f>
        <v>23889.485077674843</v>
      </c>
      <c r="I40" s="61">
        <v>7473.29</v>
      </c>
      <c r="J40" s="60">
        <f>G40-I40</f>
        <v>-5357.1090926748429</v>
      </c>
      <c r="K40" s="61">
        <v>0</v>
      </c>
      <c r="L40" s="72">
        <f>J40-K40</f>
        <v>-5357.1090926748429</v>
      </c>
    </row>
    <row r="41" spans="1:12" x14ac:dyDescent="0.2">
      <c r="A41" s="71"/>
      <c r="B41" s="68"/>
      <c r="C41" s="70"/>
      <c r="D41" s="69">
        <f>D40/F40</f>
        <v>0.91862615983202411</v>
      </c>
      <c r="E41" s="69">
        <f>E40/F40</f>
        <v>8.1373840167975886E-2</v>
      </c>
      <c r="F41" s="59">
        <f>E41+D41</f>
        <v>1</v>
      </c>
      <c r="G41" s="61"/>
      <c r="H41" s="68"/>
      <c r="I41" s="61"/>
      <c r="J41" s="68"/>
      <c r="K41" s="61"/>
      <c r="L41" s="67"/>
    </row>
    <row r="42" spans="1:12" x14ac:dyDescent="0.2">
      <c r="A42" s="71"/>
      <c r="B42" s="68"/>
      <c r="C42" s="70"/>
      <c r="D42" s="59"/>
      <c r="E42" s="69"/>
      <c r="F42" s="59"/>
      <c r="G42" s="61"/>
      <c r="H42" s="68"/>
      <c r="I42" s="61"/>
      <c r="J42" s="68"/>
      <c r="K42" s="61"/>
      <c r="L42" s="67"/>
    </row>
    <row r="43" spans="1:12" x14ac:dyDescent="0.2">
      <c r="A43" s="71" t="s">
        <v>52</v>
      </c>
      <c r="B43" s="91">
        <v>191956.68</v>
      </c>
      <c r="C43" s="61">
        <f>B43*13%</f>
        <v>24954.368399999999</v>
      </c>
      <c r="D43" s="91">
        <v>1224742.6299999999</v>
      </c>
      <c r="E43" s="92">
        <v>256663.14</v>
      </c>
      <c r="F43" s="60">
        <f>SUM(D43:E43)</f>
        <v>1481405.77</v>
      </c>
      <c r="G43" s="61"/>
      <c r="H43" s="68"/>
      <c r="I43" s="61"/>
      <c r="J43" s="68"/>
      <c r="K43" s="61"/>
      <c r="L43" s="67"/>
    </row>
    <row r="44" spans="1:12" x14ac:dyDescent="0.2">
      <c r="A44" s="71"/>
      <c r="B44" s="60"/>
      <c r="C44" s="61"/>
      <c r="D44" s="60">
        <f>D43+D40</f>
        <v>12636811.07</v>
      </c>
      <c r="E44" s="61">
        <f>E43+E40</f>
        <v>1267568.2000000002</v>
      </c>
      <c r="F44" s="60">
        <f>E44+D44</f>
        <v>13904379.27</v>
      </c>
      <c r="G44" s="61">
        <f>C43*E45</f>
        <v>2274.9209598426673</v>
      </c>
      <c r="H44" s="60">
        <f>C43-G44</f>
        <v>22679.447440157332</v>
      </c>
      <c r="I44" s="61">
        <f>E43*13%</f>
        <v>33366.208200000001</v>
      </c>
      <c r="J44" s="60">
        <f>G44-I44</f>
        <v>-31091.287240157333</v>
      </c>
      <c r="K44" s="61">
        <v>748.01</v>
      </c>
      <c r="L44" s="72">
        <f>J44-K44</f>
        <v>-31839.297240157332</v>
      </c>
    </row>
    <row r="45" spans="1:12" x14ac:dyDescent="0.2">
      <c r="A45" s="71"/>
      <c r="B45" s="68"/>
      <c r="C45" s="70"/>
      <c r="D45" s="69">
        <f>D44/F44</f>
        <v>0.90883676463465746</v>
      </c>
      <c r="E45" s="69">
        <f>E44/F44</f>
        <v>9.1163235365342585E-2</v>
      </c>
      <c r="F45" s="59">
        <f>E45+D45</f>
        <v>1</v>
      </c>
      <c r="G45" s="61"/>
      <c r="H45" s="68"/>
      <c r="I45" s="61"/>
      <c r="J45" s="68"/>
      <c r="K45" s="61"/>
      <c r="L45" s="67"/>
    </row>
    <row r="46" spans="1:12" x14ac:dyDescent="0.2">
      <c r="A46" s="79"/>
      <c r="B46" s="75"/>
      <c r="C46" s="78"/>
      <c r="D46" s="76"/>
      <c r="E46" s="77"/>
      <c r="F46" s="76"/>
      <c r="G46" s="74"/>
      <c r="H46" s="75"/>
      <c r="I46" s="74"/>
      <c r="J46" s="75"/>
      <c r="K46" s="74"/>
      <c r="L46" s="73"/>
    </row>
    <row r="47" spans="1:12" x14ac:dyDescent="0.2">
      <c r="A47" s="71" t="s">
        <v>51</v>
      </c>
      <c r="B47" s="91">
        <v>206984.71</v>
      </c>
      <c r="C47" s="61">
        <f>B47*13%</f>
        <v>26908.012299999999</v>
      </c>
      <c r="D47" s="91">
        <v>1378839.36</v>
      </c>
      <c r="E47" s="92">
        <v>78283.44</v>
      </c>
      <c r="F47" s="60">
        <f>SUM(D47:E47)</f>
        <v>1457122.8</v>
      </c>
      <c r="G47" s="61"/>
      <c r="H47" s="68"/>
      <c r="I47" s="61"/>
      <c r="J47" s="68"/>
      <c r="K47" s="61"/>
      <c r="L47" s="67"/>
    </row>
    <row r="48" spans="1:12" x14ac:dyDescent="0.2">
      <c r="A48" s="71"/>
      <c r="B48" s="60"/>
      <c r="C48" s="61"/>
      <c r="D48" s="60">
        <f>D47+D44</f>
        <v>14015650.43</v>
      </c>
      <c r="E48" s="61">
        <f>E47+E44</f>
        <v>1345851.6400000001</v>
      </c>
      <c r="F48" s="60">
        <f>E48+D48</f>
        <v>15361502.07</v>
      </c>
      <c r="G48" s="61">
        <f>C47*E49</f>
        <v>2357.4642842915146</v>
      </c>
      <c r="H48" s="60">
        <f>C47-G48</f>
        <v>24550.548015708482</v>
      </c>
      <c r="I48" s="61">
        <f>E47*13%</f>
        <v>10176.8472</v>
      </c>
      <c r="J48" s="60">
        <f>G48-I48</f>
        <v>-7819.3829157084856</v>
      </c>
      <c r="K48" s="61">
        <v>878.49</v>
      </c>
      <c r="L48" s="72">
        <f>J48-K48</f>
        <v>-8697.8729157084854</v>
      </c>
    </row>
    <row r="49" spans="1:12" x14ac:dyDescent="0.2">
      <c r="A49" s="71"/>
      <c r="B49" s="68"/>
      <c r="C49" s="70"/>
      <c r="D49" s="69">
        <f>D48/F48</f>
        <v>0.91238801818551585</v>
      </c>
      <c r="E49" s="69">
        <f>E48/F48</f>
        <v>8.7611981814484111E-2</v>
      </c>
      <c r="F49" s="59">
        <f>E49+D49</f>
        <v>1</v>
      </c>
      <c r="G49" s="61"/>
      <c r="H49" s="68"/>
      <c r="I49" s="61"/>
      <c r="J49" s="68"/>
      <c r="K49" s="61"/>
      <c r="L49" s="67"/>
    </row>
    <row r="50" spans="1:12" x14ac:dyDescent="0.2">
      <c r="A50" s="79"/>
      <c r="B50" s="75"/>
      <c r="C50" s="78"/>
      <c r="D50" s="76"/>
      <c r="E50" s="77"/>
      <c r="F50" s="76"/>
      <c r="G50" s="74"/>
      <c r="H50" s="75"/>
      <c r="I50" s="74"/>
      <c r="J50" s="75"/>
      <c r="K50" s="74"/>
      <c r="L50" s="73"/>
    </row>
    <row r="51" spans="1:12" x14ac:dyDescent="0.2">
      <c r="A51" s="71" t="s">
        <v>50</v>
      </c>
      <c r="B51" s="91">
        <v>207114.94</v>
      </c>
      <c r="C51" s="61">
        <f>B51*13%</f>
        <v>26924.942200000001</v>
      </c>
      <c r="D51" s="91">
        <v>1443210.85</v>
      </c>
      <c r="E51" s="92">
        <v>60089.15</v>
      </c>
      <c r="F51" s="60">
        <f>SUM(D51:E51)</f>
        <v>1503300</v>
      </c>
      <c r="G51" s="61"/>
      <c r="H51" s="68"/>
      <c r="I51" s="61"/>
      <c r="J51" s="68"/>
      <c r="K51" s="61"/>
      <c r="L51" s="67"/>
    </row>
    <row r="52" spans="1:12" x14ac:dyDescent="0.2">
      <c r="A52" s="71"/>
      <c r="B52" s="60"/>
      <c r="C52" s="61"/>
      <c r="D52" s="60">
        <f>D51+D48</f>
        <v>15458861.279999999</v>
      </c>
      <c r="E52" s="61">
        <f>E51+E48</f>
        <v>1405940.79</v>
      </c>
      <c r="F52" s="60">
        <f>E52+D52</f>
        <v>16864802.07</v>
      </c>
      <c r="G52" s="61">
        <f>C51*E53</f>
        <v>2244.6082883303202</v>
      </c>
      <c r="H52" s="60">
        <f>C51-G52</f>
        <v>24680.333911669681</v>
      </c>
      <c r="I52" s="61">
        <f>E51*13%</f>
        <v>7811.5895</v>
      </c>
      <c r="J52" s="60">
        <f>G52-I52</f>
        <v>-5566.9812116696794</v>
      </c>
      <c r="K52" s="61">
        <v>749.86</v>
      </c>
      <c r="L52" s="72">
        <f>J52-K52</f>
        <v>-6316.8412116696791</v>
      </c>
    </row>
    <row r="53" spans="1:12" x14ac:dyDescent="0.2">
      <c r="A53" s="71"/>
      <c r="B53" s="68"/>
      <c r="C53" s="70"/>
      <c r="D53" s="69">
        <f>D52/F52</f>
        <v>0.9166346107019564</v>
      </c>
      <c r="E53" s="69">
        <f>E52/F52</f>
        <v>8.3365389298043505E-2</v>
      </c>
      <c r="F53" s="59">
        <f>E53+D53</f>
        <v>0.99999999999999989</v>
      </c>
      <c r="G53" s="61"/>
      <c r="H53" s="68"/>
      <c r="I53" s="61"/>
      <c r="J53" s="68"/>
      <c r="K53" s="61"/>
      <c r="L53" s="67"/>
    </row>
    <row r="54" spans="1:12" x14ac:dyDescent="0.2">
      <c r="A54" s="66"/>
      <c r="B54" s="64"/>
      <c r="C54" s="65"/>
      <c r="D54" s="64"/>
      <c r="E54" s="65"/>
      <c r="F54" s="64"/>
      <c r="G54" s="63"/>
      <c r="H54" s="64"/>
      <c r="I54" s="63"/>
      <c r="J54" s="64"/>
      <c r="K54" s="63"/>
      <c r="L54" s="62"/>
    </row>
    <row r="55" spans="1:12" x14ac:dyDescent="0.2">
      <c r="A55" s="94"/>
      <c r="B55" s="95"/>
      <c r="C55" s="95"/>
      <c r="D55" s="95"/>
      <c r="E55" s="96"/>
      <c r="F55" s="95"/>
      <c r="G55" s="96"/>
      <c r="H55" s="95"/>
      <c r="I55" s="95"/>
      <c r="J55" s="95"/>
      <c r="K55" s="96"/>
      <c r="L55" s="97"/>
    </row>
    <row r="56" spans="1:12" x14ac:dyDescent="0.2">
      <c r="A56" s="98" t="s">
        <v>72</v>
      </c>
      <c r="B56" s="57">
        <f>SUM(B8:B54)</f>
        <v>2241774.2645</v>
      </c>
      <c r="C56" s="57">
        <f>SUM(C8:C54)</f>
        <v>291430.654385</v>
      </c>
      <c r="E56" s="57"/>
      <c r="G56" s="57">
        <f>SUM(G8:G54)</f>
        <v>26273.843293772577</v>
      </c>
      <c r="H56" s="57">
        <f>SUM(H8:H54)</f>
        <v>265156.81109122746</v>
      </c>
      <c r="I56" s="57">
        <f>SUM(I8:I54)</f>
        <v>182772.29759999999</v>
      </c>
      <c r="L56" s="99">
        <f>SUM(L8:L54)</f>
        <v>-158874.81430622743</v>
      </c>
    </row>
    <row r="57" spans="1:12" x14ac:dyDescent="0.2">
      <c r="A57" s="98"/>
      <c r="D57" s="57">
        <f>D8+D11+D15+D19+D23+D27+D31+D35+D39+D43+D47+D51</f>
        <v>15458861.279999999</v>
      </c>
      <c r="E57" s="57">
        <f>E8+E11+E15+E19+E23+E27+E31+E35+E39+E43+E47+E51</f>
        <v>1405940.79</v>
      </c>
      <c r="F57" s="57">
        <f>F8+F11+F15+F19+F23+F27+F31+F35+F39+F43+F47+F51</f>
        <v>16864802.07</v>
      </c>
      <c r="G57" s="61">
        <f>C56*E58</f>
        <v>24295.229956189094</v>
      </c>
      <c r="H57" s="60">
        <f>C56-G57</f>
        <v>267135.42442881089</v>
      </c>
      <c r="I57" s="56"/>
      <c r="L57" s="100"/>
    </row>
    <row r="58" spans="1:12" x14ac:dyDescent="0.2">
      <c r="A58" s="101"/>
      <c r="B58" s="102"/>
      <c r="C58" s="102"/>
      <c r="D58" s="103">
        <f>D57/F57</f>
        <v>0.9166346107019564</v>
      </c>
      <c r="E58" s="103">
        <f>E57/F57</f>
        <v>8.3365389298043505E-2</v>
      </c>
      <c r="F58" s="104">
        <f>E58+D58</f>
        <v>0.99999999999999989</v>
      </c>
      <c r="G58" s="105"/>
      <c r="H58" s="102"/>
      <c r="I58" s="102"/>
      <c r="J58" s="102"/>
      <c r="K58" s="105"/>
      <c r="L58" s="106"/>
    </row>
    <row r="59" spans="1:12" x14ac:dyDescent="0.2">
      <c r="E59" s="57"/>
      <c r="G59" s="58">
        <f>G57-G56</f>
        <v>-1978.6133375834834</v>
      </c>
      <c r="H59" s="58">
        <f>H57-H56</f>
        <v>1978.6133375834324</v>
      </c>
      <c r="I59" s="56"/>
    </row>
    <row r="60" spans="1:12" x14ac:dyDescent="0.2">
      <c r="E60" s="57"/>
      <c r="G60" s="56" t="str">
        <f>IF(G59&gt;0,"Diferencia a favor del contribuyente, casilla 133","Diferencia en contra del contribuyente, casilla 134")</f>
        <v>Diferencia en contra del contribuyente, casilla 134</v>
      </c>
      <c r="I60" s="56"/>
    </row>
    <row r="61" spans="1:12" x14ac:dyDescent="0.2">
      <c r="E61" s="57"/>
      <c r="I61" s="56"/>
    </row>
    <row r="62" spans="1:12" x14ac:dyDescent="0.2">
      <c r="E62" s="57"/>
      <c r="I62" s="56"/>
    </row>
    <row r="63" spans="1:12" x14ac:dyDescent="0.2">
      <c r="E63" s="57"/>
      <c r="I63" s="56"/>
    </row>
    <row r="64" spans="1:12" x14ac:dyDescent="0.2">
      <c r="E64" s="57"/>
      <c r="I64" s="56"/>
    </row>
    <row r="65" spans="5:9" x14ac:dyDescent="0.2">
      <c r="E65" s="57"/>
      <c r="I65" s="56"/>
    </row>
    <row r="66" spans="5:9" x14ac:dyDescent="0.2">
      <c r="E66" s="57"/>
      <c r="I66" s="56"/>
    </row>
    <row r="67" spans="5:9" x14ac:dyDescent="0.2">
      <c r="E67" s="57"/>
      <c r="I67" s="56"/>
    </row>
    <row r="68" spans="5:9" x14ac:dyDescent="0.2">
      <c r="E68" s="57"/>
      <c r="I68" s="56"/>
    </row>
    <row r="69" spans="5:9" x14ac:dyDescent="0.2">
      <c r="E69" s="57"/>
    </row>
  </sheetData>
  <mergeCells count="11">
    <mergeCell ref="I5:I6"/>
    <mergeCell ref="D5:F5"/>
    <mergeCell ref="J5:J6"/>
    <mergeCell ref="K5:K6"/>
    <mergeCell ref="A2:L2"/>
    <mergeCell ref="A3:J3"/>
    <mergeCell ref="L5:L6"/>
    <mergeCell ref="A5:A6"/>
    <mergeCell ref="B5:C5"/>
    <mergeCell ref="G5:G6"/>
    <mergeCell ref="H5:H6"/>
  </mergeCells>
  <pageMargins left="0.41" right="0.15748031496062992" top="1" bottom="0.31496062992125984" header="0.31496062992125984" footer="0.23622047244094491"/>
  <pageSetup paperSize="185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Menu</vt:lpstr>
      <vt:lpstr>ProporcIVA</vt:lpstr>
      <vt:lpstr>ProporcISR</vt:lpstr>
      <vt:lpstr>2025</vt:lpstr>
      <vt:lpstr>2025-2</vt:lpstr>
      <vt:lpstr>'2025'!Área_de_impresión</vt:lpstr>
      <vt:lpstr>'2025-2'!Área_de_impresión</vt:lpstr>
      <vt:lpstr>ProporcISR!Área_de_impresión</vt:lpstr>
      <vt:lpstr>ProporcIVA!Área_de_impresión</vt:lpstr>
      <vt:lpstr>'2025-2'!Títulos_a_imprimir</vt:lpstr>
    </vt:vector>
  </TitlesOfParts>
  <Company>MORALESYMORALES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MENDEZ</dc:creator>
  <cp:lastModifiedBy>JONNATHAN RICARDO RECINOS PEREZ</cp:lastModifiedBy>
  <cp:lastPrinted>2026-08-25T06:34:45Z</cp:lastPrinted>
  <dcterms:created xsi:type="dcterms:W3CDTF">2007-01-30T22:44:50Z</dcterms:created>
  <dcterms:modified xsi:type="dcterms:W3CDTF">2026-08-25T06:38:40Z</dcterms:modified>
</cp:coreProperties>
</file>